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2. 28 ธ.ค. 66\"/>
    </mc:Choice>
  </mc:AlternateContent>
  <xr:revisionPtr revIDLastSave="0" documentId="13_ncr:1_{2BF3B41D-B7C1-43A8-9AD1-A260929495D5}" xr6:coauthVersionLast="37" xr6:coauthVersionMax="47" xr10:uidLastSave="{00000000-0000-0000-0000-000000000000}"/>
  <bookViews>
    <workbookView xWindow="0" yWindow="0" windowWidth="12195" windowHeight="7545" xr2:uid="{00000000-000D-0000-FFFF-FFFF00000000}"/>
  </bookViews>
  <sheets>
    <sheet name="ทั้งประเทศ" sheetId="1" r:id="rId1"/>
  </sheets>
  <definedNames>
    <definedName name="_xlnm.Print_Titles" localSheetId="0">ทั้งประเทศ!$5:$6</definedName>
  </definedNames>
  <calcPr calcId="179021"/>
</workbook>
</file>

<file path=xl/calcChain.xml><?xml version="1.0" encoding="utf-8"?>
<calcChain xmlns="http://schemas.openxmlformats.org/spreadsheetml/2006/main">
  <c r="A391" i="1" l="1"/>
  <c r="K388" i="1"/>
  <c r="K387" i="1"/>
  <c r="O385" i="1"/>
  <c r="N385" i="1"/>
  <c r="M385" i="1"/>
  <c r="N384" i="1"/>
  <c r="M384" i="1"/>
  <c r="P384" i="1" s="1"/>
  <c r="L384" i="1"/>
  <c r="L383" i="1" s="1"/>
  <c r="N382" i="1"/>
  <c r="M382" i="1"/>
  <c r="P382" i="1" s="1"/>
  <c r="L382" i="1"/>
  <c r="O382" i="1" s="1"/>
  <c r="N381" i="1"/>
  <c r="M381" i="1"/>
  <c r="L381" i="1"/>
  <c r="O381" i="1" s="1"/>
  <c r="J376" i="1"/>
  <c r="I376" i="1"/>
  <c r="K376" i="1" s="1"/>
  <c r="D373" i="1"/>
  <c r="K372" i="1"/>
  <c r="J372" i="1"/>
  <c r="J371" i="1"/>
  <c r="I371" i="1"/>
  <c r="I365" i="1" s="1"/>
  <c r="K370" i="1"/>
  <c r="J370" i="1"/>
  <c r="J369" i="1"/>
  <c r="I369" i="1"/>
  <c r="J368" i="1"/>
  <c r="I368" i="1"/>
  <c r="K367" i="1"/>
  <c r="J367" i="1"/>
  <c r="N364" i="1"/>
  <c r="M364" i="1"/>
  <c r="P364" i="1" s="1"/>
  <c r="L364" i="1"/>
  <c r="N363" i="1"/>
  <c r="M363" i="1"/>
  <c r="P363" i="1" s="1"/>
  <c r="L363" i="1"/>
  <c r="O363" i="1" s="1"/>
  <c r="N361" i="1"/>
  <c r="M361" i="1"/>
  <c r="L361" i="1"/>
  <c r="N360" i="1"/>
  <c r="M360" i="1"/>
  <c r="L360" i="1"/>
  <c r="D354" i="1"/>
  <c r="J353" i="1"/>
  <c r="J352" i="1"/>
  <c r="D350" i="1"/>
  <c r="J349" i="1"/>
  <c r="J348" i="1"/>
  <c r="J347" i="1"/>
  <c r="J346" i="1"/>
  <c r="I346" i="1"/>
  <c r="J344" i="1"/>
  <c r="I344" i="1"/>
  <c r="I332" i="1" s="1"/>
  <c r="N341" i="1"/>
  <c r="M341" i="1"/>
  <c r="P341" i="1" s="1"/>
  <c r="L341" i="1"/>
  <c r="O341" i="1" s="1"/>
  <c r="N340" i="1"/>
  <c r="M340" i="1"/>
  <c r="L340" i="1"/>
  <c r="O340" i="1" s="1"/>
  <c r="N338" i="1"/>
  <c r="M338" i="1"/>
  <c r="L338" i="1"/>
  <c r="N337" i="1"/>
  <c r="M337" i="1"/>
  <c r="L337" i="1"/>
  <c r="J330" i="1"/>
  <c r="J319" i="1" s="1"/>
  <c r="I330" i="1"/>
  <c r="N328" i="1"/>
  <c r="M328" i="1"/>
  <c r="P328" i="1" s="1"/>
  <c r="L328" i="1"/>
  <c r="O328" i="1" s="1"/>
  <c r="N327" i="1"/>
  <c r="M327" i="1"/>
  <c r="P327" i="1" s="1"/>
  <c r="L327" i="1"/>
  <c r="O327" i="1" s="1"/>
  <c r="N325" i="1"/>
  <c r="M325" i="1"/>
  <c r="L325" i="1"/>
  <c r="N324" i="1"/>
  <c r="M324" i="1"/>
  <c r="L324" i="1"/>
  <c r="J317" i="1"/>
  <c r="I317" i="1"/>
  <c r="J316" i="1"/>
  <c r="I316" i="1"/>
  <c r="J315" i="1"/>
  <c r="I315" i="1"/>
  <c r="J314" i="1"/>
  <c r="I314" i="1"/>
  <c r="I302" i="1" s="1"/>
  <c r="J313" i="1"/>
  <c r="N311" i="1"/>
  <c r="M311" i="1"/>
  <c r="P311" i="1" s="1"/>
  <c r="L311" i="1"/>
  <c r="O311" i="1" s="1"/>
  <c r="N310" i="1"/>
  <c r="M310" i="1"/>
  <c r="L310" i="1"/>
  <c r="O310" i="1" s="1"/>
  <c r="N308" i="1"/>
  <c r="M308" i="1"/>
  <c r="L308" i="1"/>
  <c r="N307" i="1"/>
  <c r="M307" i="1"/>
  <c r="L307" i="1"/>
  <c r="J296" i="1"/>
  <c r="I296" i="1"/>
  <c r="J295" i="1"/>
  <c r="I295" i="1"/>
  <c r="J293" i="1"/>
  <c r="J280" i="1" s="1"/>
  <c r="I293" i="1"/>
  <c r="J292" i="1"/>
  <c r="J281" i="1" s="1"/>
  <c r="I292" i="1"/>
  <c r="I281" i="1" s="1"/>
  <c r="N290" i="1"/>
  <c r="M290" i="1"/>
  <c r="P290" i="1" s="1"/>
  <c r="L290" i="1"/>
  <c r="O290" i="1" s="1"/>
  <c r="N289" i="1"/>
  <c r="M289" i="1"/>
  <c r="P289" i="1" s="1"/>
  <c r="L289" i="1"/>
  <c r="O289" i="1" s="1"/>
  <c r="N287" i="1"/>
  <c r="M287" i="1"/>
  <c r="L287" i="1"/>
  <c r="N286" i="1"/>
  <c r="M286" i="1"/>
  <c r="L286" i="1"/>
  <c r="N274" i="1"/>
  <c r="M274" i="1"/>
  <c r="L274" i="1"/>
  <c r="O274" i="1" s="1"/>
  <c r="N273" i="1"/>
  <c r="M273" i="1"/>
  <c r="P273" i="1" s="1"/>
  <c r="L273" i="1"/>
  <c r="N271" i="1"/>
  <c r="M271" i="1"/>
  <c r="L271" i="1"/>
  <c r="N270" i="1"/>
  <c r="M270" i="1"/>
  <c r="L270" i="1"/>
  <c r="K265" i="1"/>
  <c r="K241" i="1"/>
  <c r="J241" i="1"/>
  <c r="K240" i="1"/>
  <c r="J240" i="1"/>
  <c r="J238" i="1"/>
  <c r="I238" i="1"/>
  <c r="N236" i="1"/>
  <c r="L236" i="1"/>
  <c r="N235" i="1"/>
  <c r="L235" i="1"/>
  <c r="N234" i="1"/>
  <c r="L234" i="1"/>
  <c r="N233" i="1"/>
  <c r="L233" i="1"/>
  <c r="J231" i="1"/>
  <c r="I231" i="1"/>
  <c r="K231" i="1" s="1"/>
  <c r="J230" i="1"/>
  <c r="J185" i="1" s="1"/>
  <c r="I230" i="1"/>
  <c r="I185" i="1" s="1"/>
  <c r="K185" i="1" s="1"/>
  <c r="J229" i="1"/>
  <c r="J221" i="1" s="1"/>
  <c r="I229" i="1"/>
  <c r="J228" i="1"/>
  <c r="I228" i="1"/>
  <c r="N224" i="1"/>
  <c r="L224" i="1"/>
  <c r="N223" i="1"/>
  <c r="L223" i="1"/>
  <c r="J220" i="1"/>
  <c r="J213" i="1" s="1"/>
  <c r="I220" i="1"/>
  <c r="I213" i="1" s="1"/>
  <c r="J219" i="1"/>
  <c r="I219" i="1"/>
  <c r="N217" i="1"/>
  <c r="L217" i="1"/>
  <c r="N216" i="1"/>
  <c r="L216" i="1"/>
  <c r="N215" i="1"/>
  <c r="L215" i="1"/>
  <c r="K212" i="1"/>
  <c r="J212" i="1"/>
  <c r="K211" i="1"/>
  <c r="J211" i="1"/>
  <c r="J209" i="1"/>
  <c r="J202" i="1" s="1"/>
  <c r="I209" i="1"/>
  <c r="N207" i="1"/>
  <c r="L207" i="1"/>
  <c r="N206" i="1"/>
  <c r="L206" i="1"/>
  <c r="N204" i="1"/>
  <c r="L204" i="1"/>
  <c r="J201" i="1"/>
  <c r="J200" i="1"/>
  <c r="J198" i="1"/>
  <c r="J195" i="1" s="1"/>
  <c r="I198" i="1"/>
  <c r="I195" i="1" s="1"/>
  <c r="N196" i="1"/>
  <c r="L196" i="1"/>
  <c r="N194" i="1"/>
  <c r="M194" i="1"/>
  <c r="P194" i="1" s="1"/>
  <c r="L194" i="1"/>
  <c r="N193" i="1"/>
  <c r="M193" i="1"/>
  <c r="L193" i="1"/>
  <c r="O193" i="1" s="1"/>
  <c r="N191" i="1"/>
  <c r="M191" i="1"/>
  <c r="L191" i="1"/>
  <c r="N190" i="1"/>
  <c r="M190" i="1"/>
  <c r="L190" i="1"/>
  <c r="K184" i="1"/>
  <c r="J183" i="1"/>
  <c r="J172" i="1" s="1"/>
  <c r="I183" i="1"/>
  <c r="N181" i="1"/>
  <c r="M181" i="1"/>
  <c r="L181" i="1"/>
  <c r="O181" i="1" s="1"/>
  <c r="N180" i="1"/>
  <c r="M180" i="1"/>
  <c r="L180" i="1"/>
  <c r="O180" i="1" s="1"/>
  <c r="N178" i="1"/>
  <c r="M178" i="1"/>
  <c r="L178" i="1"/>
  <c r="N177" i="1"/>
  <c r="M177" i="1"/>
  <c r="L177" i="1"/>
  <c r="J167" i="1"/>
  <c r="I167" i="1"/>
  <c r="I168" i="1" s="1"/>
  <c r="N165" i="1"/>
  <c r="M165" i="1"/>
  <c r="P165" i="1" s="1"/>
  <c r="L165" i="1"/>
  <c r="N164" i="1"/>
  <c r="M164" i="1"/>
  <c r="P164" i="1" s="1"/>
  <c r="L164" i="1"/>
  <c r="N162" i="1"/>
  <c r="M162" i="1"/>
  <c r="P162" i="1" s="1"/>
  <c r="L162" i="1"/>
  <c r="N161" i="1"/>
  <c r="M161" i="1"/>
  <c r="L161" i="1"/>
  <c r="J156" i="1"/>
  <c r="J154" i="1"/>
  <c r="I154" i="1"/>
  <c r="I136" i="1" s="1"/>
  <c r="J153" i="1"/>
  <c r="I153" i="1"/>
  <c r="I138" i="1" s="1"/>
  <c r="J152" i="1"/>
  <c r="J137" i="1" s="1"/>
  <c r="I152" i="1"/>
  <c r="J151" i="1"/>
  <c r="I151" i="1"/>
  <c r="J150" i="1"/>
  <c r="I150" i="1"/>
  <c r="J149" i="1"/>
  <c r="N147" i="1"/>
  <c r="M147" i="1"/>
  <c r="P147" i="1" s="1"/>
  <c r="L147" i="1"/>
  <c r="N146" i="1"/>
  <c r="M146" i="1"/>
  <c r="L146" i="1"/>
  <c r="N144" i="1"/>
  <c r="M144" i="1"/>
  <c r="L144" i="1"/>
  <c r="N143" i="1"/>
  <c r="M143" i="1"/>
  <c r="L143" i="1"/>
  <c r="N133" i="1"/>
  <c r="M133" i="1"/>
  <c r="L133" i="1"/>
  <c r="O133" i="1" s="1"/>
  <c r="N132" i="1"/>
  <c r="M132" i="1"/>
  <c r="P132" i="1" s="1"/>
  <c r="L132" i="1"/>
  <c r="N130" i="1"/>
  <c r="M130" i="1"/>
  <c r="L130" i="1"/>
  <c r="N129" i="1"/>
  <c r="M129" i="1"/>
  <c r="L129" i="1"/>
  <c r="O129" i="1" s="1"/>
  <c r="J117" i="1"/>
  <c r="I117" i="1"/>
  <c r="J109" i="1"/>
  <c r="J93" i="1" s="1"/>
  <c r="I109" i="1"/>
  <c r="J108" i="1"/>
  <c r="J92" i="1" s="1"/>
  <c r="I108" i="1"/>
  <c r="I92" i="1" s="1"/>
  <c r="N102" i="1"/>
  <c r="M102" i="1"/>
  <c r="L102" i="1"/>
  <c r="O102" i="1" s="1"/>
  <c r="N101" i="1"/>
  <c r="M101" i="1"/>
  <c r="L101" i="1"/>
  <c r="O101" i="1" s="1"/>
  <c r="N99" i="1"/>
  <c r="M99" i="1"/>
  <c r="L99" i="1"/>
  <c r="N98" i="1"/>
  <c r="M98" i="1"/>
  <c r="L98" i="1"/>
  <c r="J90" i="1"/>
  <c r="I90" i="1"/>
  <c r="J89" i="1"/>
  <c r="I89" i="1"/>
  <c r="J88" i="1"/>
  <c r="I88" i="1"/>
  <c r="J87" i="1"/>
  <c r="I87" i="1"/>
  <c r="K87" i="1" s="1"/>
  <c r="J86" i="1"/>
  <c r="I86" i="1"/>
  <c r="K86" i="1" s="1"/>
  <c r="J85" i="1"/>
  <c r="I85" i="1"/>
  <c r="J84" i="1"/>
  <c r="I84" i="1"/>
  <c r="N80" i="1"/>
  <c r="M80" i="1"/>
  <c r="P80" i="1" s="1"/>
  <c r="L80" i="1"/>
  <c r="O80" i="1" s="1"/>
  <c r="N79" i="1"/>
  <c r="M79" i="1"/>
  <c r="L79" i="1"/>
  <c r="N77" i="1"/>
  <c r="M77" i="1"/>
  <c r="L77" i="1"/>
  <c r="N76" i="1"/>
  <c r="M76" i="1"/>
  <c r="L76" i="1"/>
  <c r="N67" i="1"/>
  <c r="M67" i="1"/>
  <c r="P67" i="1" s="1"/>
  <c r="L67" i="1"/>
  <c r="N66" i="1"/>
  <c r="M66" i="1"/>
  <c r="P66" i="1" s="1"/>
  <c r="L66" i="1"/>
  <c r="O66" i="1" s="1"/>
  <c r="N64" i="1"/>
  <c r="M64" i="1"/>
  <c r="L64" i="1"/>
  <c r="N63" i="1"/>
  <c r="M63" i="1"/>
  <c r="L63" i="1"/>
  <c r="N55" i="1"/>
  <c r="N29" i="1" s="1"/>
  <c r="M55" i="1"/>
  <c r="M29" i="1" s="1"/>
  <c r="L55" i="1"/>
  <c r="O55" i="1" s="1"/>
  <c r="N54" i="1"/>
  <c r="M54" i="1"/>
  <c r="L54" i="1"/>
  <c r="N52" i="1"/>
  <c r="M52" i="1"/>
  <c r="L52" i="1"/>
  <c r="O52" i="1" s="1"/>
  <c r="N51" i="1"/>
  <c r="M51" i="1"/>
  <c r="L51" i="1"/>
  <c r="O51" i="1" s="1"/>
  <c r="N49" i="1"/>
  <c r="M49" i="1"/>
  <c r="L49" i="1"/>
  <c r="N48" i="1"/>
  <c r="M48" i="1"/>
  <c r="L48" i="1"/>
  <c r="A3" i="1"/>
  <c r="P98" i="1" l="1"/>
  <c r="L334" i="1"/>
  <c r="M357" i="1"/>
  <c r="N305" i="1"/>
  <c r="N95" i="1"/>
  <c r="L222" i="1"/>
  <c r="N174" i="1"/>
  <c r="L267" i="1"/>
  <c r="N272" i="1"/>
  <c r="K88" i="1"/>
  <c r="K89" i="1"/>
  <c r="M158" i="1"/>
  <c r="L175" i="1"/>
  <c r="L304" i="1"/>
  <c r="P307" i="1"/>
  <c r="N163" i="1"/>
  <c r="N47" i="1"/>
  <c r="O99" i="1"/>
  <c r="N145" i="1"/>
  <c r="L74" i="1"/>
  <c r="N214" i="1"/>
  <c r="N383" i="1"/>
  <c r="O383" i="1" s="1"/>
  <c r="N158" i="1"/>
  <c r="M269" i="1"/>
  <c r="L335" i="1"/>
  <c r="M358" i="1"/>
  <c r="M378" i="1"/>
  <c r="P378" i="1" s="1"/>
  <c r="L78" i="1"/>
  <c r="O78" i="1" s="1"/>
  <c r="M141" i="1"/>
  <c r="L214" i="1"/>
  <c r="K229" i="1"/>
  <c r="N336" i="1"/>
  <c r="M128" i="1"/>
  <c r="P128" i="1" s="1"/>
  <c r="L189" i="1"/>
  <c r="N304" i="1"/>
  <c r="M339" i="1"/>
  <c r="P339" i="1" s="1"/>
  <c r="P64" i="1"/>
  <c r="O79" i="1"/>
  <c r="P99" i="1"/>
  <c r="K151" i="1"/>
  <c r="M283" i="1"/>
  <c r="J82" i="1"/>
  <c r="J70" i="1" s="1"/>
  <c r="O144" i="1"/>
  <c r="N175" i="1"/>
  <c r="N222" i="1"/>
  <c r="N306" i="1"/>
  <c r="M309" i="1"/>
  <c r="P309" i="1" s="1"/>
  <c r="L284" i="1"/>
  <c r="K154" i="1"/>
  <c r="N203" i="1"/>
  <c r="M284" i="1"/>
  <c r="M322" i="1"/>
  <c r="K371" i="1"/>
  <c r="M26" i="1"/>
  <c r="P26" i="1" s="1"/>
  <c r="J136" i="1"/>
  <c r="K136" i="1" s="1"/>
  <c r="I156" i="1"/>
  <c r="K156" i="1" s="1"/>
  <c r="M192" i="1"/>
  <c r="P192" i="1" s="1"/>
  <c r="K195" i="1"/>
  <c r="N269" i="1"/>
  <c r="O325" i="1"/>
  <c r="K330" i="1"/>
  <c r="M189" i="1"/>
  <c r="N62" i="1"/>
  <c r="M74" i="1"/>
  <c r="M142" i="1"/>
  <c r="I221" i="1"/>
  <c r="K221" i="1" s="1"/>
  <c r="N362" i="1"/>
  <c r="O64" i="1"/>
  <c r="L65" i="1"/>
  <c r="O65" i="1" s="1"/>
  <c r="O190" i="1"/>
  <c r="L306" i="1"/>
  <c r="O324" i="1"/>
  <c r="P337" i="1"/>
  <c r="L358" i="1"/>
  <c r="P29" i="1"/>
  <c r="N22" i="1"/>
  <c r="M97" i="1"/>
  <c r="K92" i="1"/>
  <c r="N126" i="1"/>
  <c r="N140" i="1"/>
  <c r="K183" i="1"/>
  <c r="N187" i="1"/>
  <c r="K295" i="1"/>
  <c r="K346" i="1"/>
  <c r="N96" i="1"/>
  <c r="J83" i="1"/>
  <c r="J71" i="1" s="1"/>
  <c r="L95" i="1"/>
  <c r="K152" i="1"/>
  <c r="M160" i="1"/>
  <c r="K228" i="1"/>
  <c r="K369" i="1"/>
  <c r="M379" i="1"/>
  <c r="P379" i="1" s="1"/>
  <c r="P190" i="1"/>
  <c r="L46" i="1"/>
  <c r="N61" i="1"/>
  <c r="O77" i="1"/>
  <c r="N97" i="1"/>
  <c r="I137" i="1"/>
  <c r="K137" i="1" s="1"/>
  <c r="L187" i="1"/>
  <c r="N268" i="1"/>
  <c r="N334" i="1"/>
  <c r="N379" i="1"/>
  <c r="L61" i="1"/>
  <c r="P49" i="1"/>
  <c r="O54" i="1"/>
  <c r="L62" i="1"/>
  <c r="K90" i="1"/>
  <c r="N100" i="1"/>
  <c r="L126" i="1"/>
  <c r="O126" i="1" s="1"/>
  <c r="M188" i="1"/>
  <c r="P191" i="1"/>
  <c r="L203" i="1"/>
  <c r="M268" i="1"/>
  <c r="P268" i="1" s="1"/>
  <c r="L283" i="1"/>
  <c r="O307" i="1"/>
  <c r="K316" i="1"/>
  <c r="L322" i="1"/>
  <c r="L378" i="1"/>
  <c r="K150" i="1"/>
  <c r="P161" i="1"/>
  <c r="L159" i="1"/>
  <c r="O196" i="1"/>
  <c r="M380" i="1"/>
  <c r="P380" i="1" s="1"/>
  <c r="L29" i="1"/>
  <c r="O29" i="1" s="1"/>
  <c r="N60" i="1"/>
  <c r="N78" i="1"/>
  <c r="I82" i="1"/>
  <c r="I70" i="1" s="1"/>
  <c r="M96" i="1"/>
  <c r="N131" i="1"/>
  <c r="M175" i="1"/>
  <c r="L272" i="1"/>
  <c r="O272" i="1" s="1"/>
  <c r="N288" i="1"/>
  <c r="K293" i="1"/>
  <c r="L158" i="1"/>
  <c r="N46" i="1"/>
  <c r="M62" i="1"/>
  <c r="L100" i="1"/>
  <c r="O100" i="1" s="1"/>
  <c r="K117" i="1"/>
  <c r="P143" i="1"/>
  <c r="I172" i="1"/>
  <c r="K172" i="1" s="1"/>
  <c r="P178" i="1"/>
  <c r="L188" i="1"/>
  <c r="K230" i="1"/>
  <c r="L305" i="1"/>
  <c r="O308" i="1"/>
  <c r="P310" i="1"/>
  <c r="K368" i="1"/>
  <c r="N380" i="1"/>
  <c r="M383" i="1"/>
  <c r="P383" i="1" s="1"/>
  <c r="N26" i="1"/>
  <c r="L50" i="1"/>
  <c r="O50" i="1" s="1"/>
  <c r="L53" i="1"/>
  <c r="P55" i="1"/>
  <c r="P77" i="1"/>
  <c r="K84" i="1"/>
  <c r="P102" i="1"/>
  <c r="M126" i="1"/>
  <c r="P126" i="1" s="1"/>
  <c r="P129" i="1"/>
  <c r="O132" i="1"/>
  <c r="L141" i="1"/>
  <c r="P193" i="1"/>
  <c r="K220" i="1"/>
  <c r="N326" i="1"/>
  <c r="M334" i="1"/>
  <c r="O364" i="1"/>
  <c r="O63" i="1"/>
  <c r="N188" i="1"/>
  <c r="M267" i="1"/>
  <c r="O273" i="1"/>
  <c r="O337" i="1"/>
  <c r="L362" i="1"/>
  <c r="O362" i="1" s="1"/>
  <c r="P385" i="1"/>
  <c r="L25" i="1"/>
  <c r="M25" i="1"/>
  <c r="M53" i="1"/>
  <c r="L60" i="1"/>
  <c r="L96" i="1"/>
  <c r="M100" i="1"/>
  <c r="P100" i="1" s="1"/>
  <c r="N142" i="1"/>
  <c r="N176" i="1"/>
  <c r="K198" i="1"/>
  <c r="L288" i="1"/>
  <c r="O288" i="1" s="1"/>
  <c r="K296" i="1"/>
  <c r="N309" i="1"/>
  <c r="K317" i="1"/>
  <c r="N321" i="1"/>
  <c r="P340" i="1"/>
  <c r="N378" i="1"/>
  <c r="O384" i="1"/>
  <c r="K108" i="1"/>
  <c r="N128" i="1"/>
  <c r="N179" i="1"/>
  <c r="M187" i="1"/>
  <c r="K213" i="1"/>
  <c r="N232" i="1"/>
  <c r="M304" i="1"/>
  <c r="L336" i="1"/>
  <c r="O338" i="1"/>
  <c r="J365" i="1"/>
  <c r="K365" i="1" s="1"/>
  <c r="I280" i="1"/>
  <c r="K280" i="1" s="1"/>
  <c r="L321" i="1"/>
  <c r="N23" i="1"/>
  <c r="N53" i="1"/>
  <c r="L28" i="1"/>
  <c r="L73" i="1"/>
  <c r="L97" i="1"/>
  <c r="M159" i="1"/>
  <c r="P159" i="1" s="1"/>
  <c r="N160" i="1"/>
  <c r="K167" i="1"/>
  <c r="N189" i="1"/>
  <c r="K219" i="1"/>
  <c r="I319" i="1"/>
  <c r="K319" i="1" s="1"/>
  <c r="P360" i="1"/>
  <c r="O48" i="1"/>
  <c r="L47" i="1"/>
  <c r="P324" i="1"/>
  <c r="M323" i="1"/>
  <c r="M321" i="1"/>
  <c r="N73" i="1"/>
  <c r="N75" i="1"/>
  <c r="M127" i="1"/>
  <c r="P130" i="1"/>
  <c r="M174" i="1"/>
  <c r="K314" i="1"/>
  <c r="J302" i="1"/>
  <c r="K302" i="1" s="1"/>
  <c r="N335" i="1"/>
  <c r="N339" i="1"/>
  <c r="M23" i="1"/>
  <c r="N45" i="1"/>
  <c r="M65" i="1"/>
  <c r="P65" i="1" s="1"/>
  <c r="N74" i="1"/>
  <c r="P79" i="1"/>
  <c r="M78" i="1"/>
  <c r="P78" i="1" s="1"/>
  <c r="N127" i="1"/>
  <c r="N141" i="1"/>
  <c r="P144" i="1"/>
  <c r="O162" i="1"/>
  <c r="K315" i="1"/>
  <c r="J351" i="1"/>
  <c r="O360" i="1"/>
  <c r="K85" i="1"/>
  <c r="I83" i="1"/>
  <c r="O130" i="1"/>
  <c r="L128" i="1"/>
  <c r="O128" i="1" s="1"/>
  <c r="N25" i="1"/>
  <c r="L23" i="1"/>
  <c r="P52" i="1"/>
  <c r="P54" i="1"/>
  <c r="N65" i="1"/>
  <c r="O67" i="1"/>
  <c r="L26" i="1"/>
  <c r="O26" i="1" s="1"/>
  <c r="L131" i="1"/>
  <c r="O131" i="1" s="1"/>
  <c r="N159" i="1"/>
  <c r="P274" i="1"/>
  <c r="M272" i="1"/>
  <c r="P272" i="1" s="1"/>
  <c r="P287" i="1"/>
  <c r="O287" i="1"/>
  <c r="N284" i="1"/>
  <c r="J343" i="1"/>
  <c r="K344" i="1"/>
  <c r="J332" i="1"/>
  <c r="K332" i="1" s="1"/>
  <c r="J138" i="1"/>
  <c r="K138" i="1" s="1"/>
  <c r="K153" i="1"/>
  <c r="N285" i="1"/>
  <c r="N283" i="1"/>
  <c r="P51" i="1"/>
  <c r="M50" i="1"/>
  <c r="P50" i="1" s="1"/>
  <c r="P63" i="1"/>
  <c r="K109" i="1"/>
  <c r="I93" i="1"/>
  <c r="K93" i="1" s="1"/>
  <c r="O147" i="1"/>
  <c r="O165" i="1"/>
  <c r="O194" i="1"/>
  <c r="L192" i="1"/>
  <c r="O192" i="1" s="1"/>
  <c r="P308" i="1"/>
  <c r="M305" i="1"/>
  <c r="M306" i="1"/>
  <c r="N359" i="1"/>
  <c r="N357" i="1"/>
  <c r="O177" i="1"/>
  <c r="L176" i="1"/>
  <c r="L174" i="1"/>
  <c r="M95" i="1"/>
  <c r="P101" i="1"/>
  <c r="M28" i="1"/>
  <c r="L45" i="1"/>
  <c r="M60" i="1"/>
  <c r="P133" i="1"/>
  <c r="M131" i="1"/>
  <c r="P131" i="1" s="1"/>
  <c r="L140" i="1"/>
  <c r="O143" i="1"/>
  <c r="L142" i="1"/>
  <c r="P325" i="1"/>
  <c r="P76" i="1"/>
  <c r="M75" i="1"/>
  <c r="P48" i="1"/>
  <c r="M47" i="1"/>
  <c r="P180" i="1"/>
  <c r="M179" i="1"/>
  <c r="P179" i="1" s="1"/>
  <c r="N50" i="1"/>
  <c r="L22" i="1"/>
  <c r="N28" i="1"/>
  <c r="N27" i="1" s="1"/>
  <c r="M45" i="1"/>
  <c r="O49" i="1"/>
  <c r="M61" i="1"/>
  <c r="O98" i="1"/>
  <c r="L127" i="1"/>
  <c r="M140" i="1"/>
  <c r="O146" i="1"/>
  <c r="L145" i="1"/>
  <c r="O145" i="1" s="1"/>
  <c r="O164" i="1"/>
  <c r="L163" i="1"/>
  <c r="O163" i="1" s="1"/>
  <c r="O178" i="1"/>
  <c r="N192" i="1"/>
  <c r="J199" i="1"/>
  <c r="L232" i="1"/>
  <c r="K238" i="1"/>
  <c r="P270" i="1"/>
  <c r="O270" i="1"/>
  <c r="N267" i="1"/>
  <c r="O286" i="1"/>
  <c r="K292" i="1"/>
  <c r="M46" i="1"/>
  <c r="M22" i="1"/>
  <c r="M73" i="1"/>
  <c r="O76" i="1"/>
  <c r="L75" i="1"/>
  <c r="P146" i="1"/>
  <c r="M145" i="1"/>
  <c r="P145" i="1" s="1"/>
  <c r="I169" i="1"/>
  <c r="K169" i="1" s="1"/>
  <c r="K168" i="1"/>
  <c r="P181" i="1"/>
  <c r="I202" i="1"/>
  <c r="K202" i="1" s="1"/>
  <c r="K209" i="1"/>
  <c r="O271" i="1"/>
  <c r="L268" i="1"/>
  <c r="O268" i="1" s="1"/>
  <c r="L269" i="1"/>
  <c r="K281" i="1"/>
  <c r="P286" i="1"/>
  <c r="P338" i="1"/>
  <c r="M335" i="1"/>
  <c r="M336" i="1"/>
  <c r="P361" i="1"/>
  <c r="O361" i="1"/>
  <c r="N358" i="1"/>
  <c r="L160" i="1"/>
  <c r="O161" i="1"/>
  <c r="M163" i="1"/>
  <c r="P163" i="1" s="1"/>
  <c r="M176" i="1"/>
  <c r="P177" i="1"/>
  <c r="O191" i="1"/>
  <c r="P271" i="1"/>
  <c r="L309" i="1"/>
  <c r="O309" i="1" s="1"/>
  <c r="N323" i="1"/>
  <c r="L339" i="1"/>
  <c r="O339" i="1" s="1"/>
  <c r="L380" i="1"/>
  <c r="O380" i="1" s="1"/>
  <c r="P381" i="1"/>
  <c r="N322" i="1"/>
  <c r="L357" i="1"/>
  <c r="L379" i="1"/>
  <c r="L285" i="1"/>
  <c r="M288" i="1"/>
  <c r="P288" i="1" s="1"/>
  <c r="L326" i="1"/>
  <c r="O326" i="1" s="1"/>
  <c r="L359" i="1"/>
  <c r="M362" i="1"/>
  <c r="P362" i="1" s="1"/>
  <c r="L179" i="1"/>
  <c r="O179" i="1" s="1"/>
  <c r="M285" i="1"/>
  <c r="L323" i="1"/>
  <c r="M326" i="1"/>
  <c r="P326" i="1" s="1"/>
  <c r="M359" i="1"/>
  <c r="O61" i="1" l="1"/>
  <c r="N94" i="1"/>
  <c r="P305" i="1"/>
  <c r="P357" i="1"/>
  <c r="P75" i="1"/>
  <c r="L333" i="1"/>
  <c r="O334" i="1"/>
  <c r="P306" i="1"/>
  <c r="N24" i="1"/>
  <c r="P46" i="1"/>
  <c r="P61" i="1"/>
  <c r="N157" i="1"/>
  <c r="O158" i="1"/>
  <c r="L94" i="1"/>
  <c r="O46" i="1"/>
  <c r="O95" i="1"/>
  <c r="N173" i="1"/>
  <c r="O203" i="1"/>
  <c r="M356" i="1"/>
  <c r="O222" i="1"/>
  <c r="O189" i="1"/>
  <c r="P269" i="1"/>
  <c r="N303" i="1"/>
  <c r="O305" i="1"/>
  <c r="O142" i="1"/>
  <c r="P358" i="1"/>
  <c r="M157" i="1"/>
  <c r="M282" i="1"/>
  <c r="K70" i="1"/>
  <c r="O269" i="1"/>
  <c r="O304" i="1"/>
  <c r="O336" i="1"/>
  <c r="P336" i="1"/>
  <c r="P284" i="1"/>
  <c r="P304" i="1"/>
  <c r="O214" i="1"/>
  <c r="N21" i="1"/>
  <c r="P176" i="1"/>
  <c r="O74" i="1"/>
  <c r="O175" i="1"/>
  <c r="O176" i="1"/>
  <c r="P53" i="1"/>
  <c r="N20" i="1"/>
  <c r="P322" i="1"/>
  <c r="P158" i="1"/>
  <c r="M266" i="1"/>
  <c r="P175" i="1"/>
  <c r="N333" i="1"/>
  <c r="L72" i="1"/>
  <c r="P96" i="1"/>
  <c r="L27" i="1"/>
  <c r="O27" i="1" s="1"/>
  <c r="N59" i="1"/>
  <c r="P47" i="1"/>
  <c r="O378" i="1"/>
  <c r="P142" i="1"/>
  <c r="M377" i="1"/>
  <c r="P377" i="1" s="1"/>
  <c r="P283" i="1"/>
  <c r="O47" i="1"/>
  <c r="O96" i="1"/>
  <c r="N186" i="1"/>
  <c r="N377" i="1"/>
  <c r="L282" i="1"/>
  <c r="O306" i="1"/>
  <c r="P187" i="1"/>
  <c r="O359" i="1"/>
  <c r="L303" i="1"/>
  <c r="N139" i="1"/>
  <c r="N125" i="1"/>
  <c r="L320" i="1"/>
  <c r="K82" i="1"/>
  <c r="P97" i="1"/>
  <c r="O187" i="1"/>
  <c r="O75" i="1"/>
  <c r="M24" i="1"/>
  <c r="P24" i="1" s="1"/>
  <c r="P188" i="1"/>
  <c r="P62" i="1"/>
  <c r="L59" i="1"/>
  <c r="O232" i="1"/>
  <c r="P189" i="1"/>
  <c r="N320" i="1"/>
  <c r="O62" i="1"/>
  <c r="M303" i="1"/>
  <c r="O97" i="1"/>
  <c r="P359" i="1"/>
  <c r="O160" i="1"/>
  <c r="L157" i="1"/>
  <c r="P334" i="1"/>
  <c r="N44" i="1"/>
  <c r="O53" i="1"/>
  <c r="O25" i="1"/>
  <c r="M186" i="1"/>
  <c r="L266" i="1"/>
  <c r="O321" i="1"/>
  <c r="P160" i="1"/>
  <c r="O323" i="1"/>
  <c r="O335" i="1"/>
  <c r="O159" i="1"/>
  <c r="O60" i="1"/>
  <c r="O28" i="1"/>
  <c r="P25" i="1"/>
  <c r="P335" i="1"/>
  <c r="O358" i="1"/>
  <c r="N72" i="1"/>
  <c r="O283" i="1"/>
  <c r="L186" i="1"/>
  <c r="O188" i="1"/>
  <c r="P28" i="1"/>
  <c r="M27" i="1"/>
  <c r="P27" i="1" s="1"/>
  <c r="P285" i="1"/>
  <c r="O357" i="1"/>
  <c r="L356" i="1"/>
  <c r="P73" i="1"/>
  <c r="M72" i="1"/>
  <c r="P140" i="1"/>
  <c r="M139" i="1"/>
  <c r="P127" i="1"/>
  <c r="M125" i="1"/>
  <c r="P125" i="1" s="1"/>
  <c r="P22" i="1"/>
  <c r="M21" i="1"/>
  <c r="M19" i="1"/>
  <c r="O127" i="1"/>
  <c r="L125" i="1"/>
  <c r="O125" i="1" s="1"/>
  <c r="L139" i="1"/>
  <c r="O140" i="1"/>
  <c r="P95" i="1"/>
  <c r="M94" i="1"/>
  <c r="O73" i="1"/>
  <c r="N266" i="1"/>
  <c r="P267" i="1"/>
  <c r="O141" i="1"/>
  <c r="N356" i="1"/>
  <c r="O267" i="1"/>
  <c r="O284" i="1"/>
  <c r="P321" i="1"/>
  <c r="M320" i="1"/>
  <c r="P74" i="1"/>
  <c r="O379" i="1"/>
  <c r="L377" i="1"/>
  <c r="P141" i="1"/>
  <c r="I71" i="1"/>
  <c r="K71" i="1" s="1"/>
  <c r="K83" i="1"/>
  <c r="M20" i="1"/>
  <c r="P23" i="1"/>
  <c r="P323" i="1"/>
  <c r="O322" i="1"/>
  <c r="P45" i="1"/>
  <c r="M44" i="1"/>
  <c r="P60" i="1"/>
  <c r="M59" i="1"/>
  <c r="M333" i="1"/>
  <c r="N19" i="1"/>
  <c r="O23" i="1"/>
  <c r="L20" i="1"/>
  <c r="L24" i="1"/>
  <c r="L19" i="1"/>
  <c r="L21" i="1"/>
  <c r="O22" i="1"/>
  <c r="O285" i="1"/>
  <c r="O45" i="1"/>
  <c r="L44" i="1"/>
  <c r="O174" i="1"/>
  <c r="L173" i="1"/>
  <c r="N282" i="1"/>
  <c r="P174" i="1"/>
  <c r="M173" i="1"/>
  <c r="P356" i="1" l="1"/>
  <c r="P94" i="1"/>
  <c r="O94" i="1"/>
  <c r="O333" i="1"/>
  <c r="O157" i="1"/>
  <c r="O24" i="1"/>
  <c r="P157" i="1"/>
  <c r="P173" i="1"/>
  <c r="O173" i="1"/>
  <c r="P303" i="1"/>
  <c r="O303" i="1"/>
  <c r="O377" i="1"/>
  <c r="P333" i="1"/>
  <c r="P320" i="1"/>
  <c r="P21" i="1"/>
  <c r="O21" i="1"/>
  <c r="N18" i="1"/>
  <c r="P266" i="1"/>
  <c r="O72" i="1"/>
  <c r="O282" i="1"/>
  <c r="P20" i="1"/>
  <c r="O186" i="1"/>
  <c r="P59" i="1"/>
  <c r="P186" i="1"/>
  <c r="O20" i="1"/>
  <c r="O59" i="1"/>
  <c r="O320" i="1"/>
  <c r="O139" i="1"/>
  <c r="P139" i="1"/>
  <c r="P72" i="1"/>
  <c r="N40" i="1"/>
  <c r="O356" i="1"/>
  <c r="O266" i="1"/>
  <c r="P282" i="1"/>
  <c r="L40" i="1"/>
  <c r="O44" i="1"/>
  <c r="M18" i="1"/>
  <c r="P19" i="1"/>
  <c r="O19" i="1"/>
  <c r="L18" i="1"/>
  <c r="M40" i="1"/>
  <c r="P44" i="1"/>
  <c r="P18" i="1" l="1"/>
  <c r="O18" i="1"/>
  <c r="P40" i="1"/>
  <c r="O40" i="1"/>
</calcChain>
</file>

<file path=xl/sharedStrings.xml><?xml version="1.0" encoding="utf-8"?>
<sst xmlns="http://schemas.openxmlformats.org/spreadsheetml/2006/main" count="666" uniqueCount="152">
  <si>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</si>
  <si>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</si>
  <si>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</si>
  <si>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</si>
  <si>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</si>
  <si>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</si>
  <si>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</si>
  <si>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</si>
  <si>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</si>
  <si>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</si>
  <si>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</si>
  <si>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</si>
  <si>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</si>
  <si>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 ประจำปีงบประมาณ พ.ศ. 2566 ไปพลางก่อน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</si>
  <si>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</si>
  <si>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</si>
  <si>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</si>
  <si>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</si>
  <si>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</si>
  <si>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</si>
  <si>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</si>
  <si>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</si>
  <si>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</si>
  <si>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</si>
  <si>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</si>
  <si>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</si>
  <si>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</si>
  <si>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</si>
  <si>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</si>
  <si>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</si>
  <si>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</si>
  <si>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</si>
  <si>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</si>
  <si>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</si>
  <si>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</si>
  <si>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</si>
  <si>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</si>
  <si>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</si>
  <si>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</si>
  <si>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</si>
  <si>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</si>
  <si>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</si>
  <si>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</si>
  <si>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</si>
  <si>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</si>
  <si>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</si>
  <si>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</si>
  <si>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</si>
  <si>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</si>
  <si>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</si>
  <si>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</si>
  <si>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</si>
  <si>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</si>
  <si>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</si>
  <si>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กลุ่ม</t>
  </si>
  <si>
    <t>- การเตรียมการ (การจัดทำฐานข้อมูลสมุนไพรและแผนการผลิต ฯ)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</si>
  <si>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</si>
  <si>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</si>
  <si>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</si>
  <si>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</si>
  <si>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</si>
  <si>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</si>
  <si>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</si>
  <si>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</si>
  <si>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</si>
  <si>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</si>
  <si>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</si>
  <si>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</si>
  <si>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</si>
  <si>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</si>
  <si>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</si>
  <si>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</si>
  <si>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</si>
  <si>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</si>
  <si>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</si>
  <si>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</si>
  <si>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</si>
  <si>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ค่าเบี้ยเลี้ยง/ที่พัก/พาหนะ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</si>
  <si>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</si>
  <si>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</si>
  <si>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</si>
  <si>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</si>
  <si>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</si>
  <si>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</si>
  <si>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</si>
  <si>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</si>
  <si>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</si>
  <si>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</si>
  <si>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</si>
  <si>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</si>
  <si>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</si>
  <si>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</si>
  <si>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</si>
  <si>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</si>
  <si>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</si>
  <si>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</si>
  <si>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</si>
  <si>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>- งบปัจจัยต้นแบบ/ศูนย์/กิจกรรม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</si>
  <si>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</si>
  <si>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</si>
  <si>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</si>
  <si>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</si>
  <si>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</si>
  <si>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</si>
  <si>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</si>
  <si>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</si>
  <si>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</si>
  <si>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</si>
  <si>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</si>
  <si>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</si>
  <si>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</si>
  <si>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</si>
  <si>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</si>
  <si>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</si>
  <si>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</si>
  <si>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ผู้ประกอบการต้นแบบ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</si>
  <si>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</si>
  <si>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</si>
  <si>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</si>
  <si>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</si>
  <si>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</si>
  <si>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</si>
  <si>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</si>
  <si>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</si>
  <si>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</si>
  <si>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</si>
  <si>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</si>
  <si>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</si>
  <si>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</si>
  <si>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</si>
  <si>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</si>
  <si>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</si>
  <si>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</si>
  <si>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</si>
  <si>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</si>
  <si>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</si>
  <si>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</si>
  <si>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</si>
  <si>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 (ภายใน พ.ค.67)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</si>
  <si>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</si>
  <si>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</si>
  <si>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</si>
  <si>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</si>
  <si>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</si>
  <si>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หมายเหตุ :</t>
  </si>
  <si>
    <r>
      <rPr>
        <b/>
        <sz val="16"/>
        <color rgb="FF000000"/>
        <rFont val="TH Sarabun New"/>
        <family val="2"/>
      </rPr>
      <t>- หลักสูตรที่ 1</t>
    </r>
    <r>
      <rPr>
        <sz val="16"/>
        <color rgb="FF000000"/>
        <rFont val="TH Sarabun New"/>
        <family val="2"/>
      </rPr>
      <t xml:space="preserve"> การดูแลรักษาโรงอบ ฯ</t>
    </r>
  </si>
  <si>
    <r>
      <rPr>
        <b/>
        <sz val="16"/>
        <color rgb="FF000000"/>
        <rFont val="TH Sarabun New"/>
        <family val="2"/>
      </rPr>
      <t>- หลักสูตรที่ 2</t>
    </r>
    <r>
      <rPr>
        <sz val="16"/>
        <color rgb="FF000000"/>
        <rFont val="TH Sarabun New"/>
        <family val="2"/>
      </rPr>
      <t xml:space="preserve"> การแปรรูปสมุนไพรด้วยโรงอบ ฯ</t>
    </r>
  </si>
  <si>
    <r>
      <t xml:space="preserve">หลักสูตร </t>
    </r>
    <r>
      <rPr>
        <sz val="16"/>
        <color rgb="FF000000"/>
        <rFont val="TH Sarabun New"/>
        <family val="2"/>
      </rPr>
      <t>แนวทางการเฝ้าระวังการเผาไหม้ฯ</t>
    </r>
  </si>
  <si>
    <r>
      <t xml:space="preserve">- เกษตรกรที่เข้าร่วมโครงการ </t>
    </r>
    <r>
      <rPr>
        <b/>
        <sz val="16"/>
        <color rgb="FF000000"/>
        <rFont val="TH Sarabun New"/>
        <family val="2"/>
      </rPr>
      <t>ทั้งหมด</t>
    </r>
  </si>
  <si>
    <r>
      <t xml:space="preserve">- เกษตรกร </t>
    </r>
    <r>
      <rPr>
        <b/>
        <sz val="16"/>
        <color rgb="FF000000"/>
        <rFont val="TH Sarabun New"/>
        <family val="2"/>
      </rPr>
      <t>เฉพาะ</t>
    </r>
    <r>
      <rPr>
        <sz val="16"/>
        <color rgb="FF000000"/>
        <rFont val="TH Sarabun New"/>
        <family val="2"/>
      </rPr>
      <t xml:space="preserve"> ที่ได้รับการอบรม</t>
    </r>
  </si>
  <si>
    <t>ร้อยละ
(ได้รับ)</t>
  </si>
  <si>
    <t>ร้อยละ
(จัดสรร)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</si>
</sst>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</numFmts>
  <fonts count="17">
    <font>
      <sz val="10"/>
      <color rgb="FF000000"/>
      <name val="Arial"/>
      <scheme val="minor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b/>
      <u/>
      <sz val="16"/>
      <color rgb="FF000000"/>
      <name val="TH Sarabun New"/>
      <family val="2"/>
    </font>
    <font>
      <u/>
      <sz val="16"/>
      <color rgb="FF000000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i/>
      <sz val="16"/>
      <color rgb="FFFF0000"/>
      <name val="TH Sarabun New"/>
      <family val="2"/>
    </font>
    <font>
      <sz val="16"/>
      <color theme="1"/>
      <name val="TH Sarabun New"/>
      <family val="2"/>
    </font>
    <font>
      <b/>
      <u/>
      <sz val="16"/>
      <color rgb="FFFF0000"/>
      <name val="TH Sarabun New"/>
      <family val="2"/>
    </font>
    <font>
      <b/>
      <sz val="16"/>
      <color rgb="FFFFFFFF"/>
      <name val="TH Sarabun New"/>
      <family val="2"/>
    </font>
    <font>
      <sz val="16"/>
      <color rgb="FFFFFFFF"/>
      <name val="TH Sarabun New"/>
      <family val="2"/>
    </font>
    <font>
      <b/>
      <sz val="16"/>
      <color theme="1"/>
      <name val="TH Sarabun New"/>
      <family val="2"/>
    </font>
    <font>
      <b/>
      <u/>
      <sz val="16"/>
      <color theme="1"/>
      <name val="TH Sarabun New"/>
      <family val="2"/>
    </font>
    <font>
      <i/>
      <sz val="16"/>
      <color theme="1"/>
      <name val="TH Sarabun New"/>
      <family val="2"/>
    </font>
    <font>
      <i/>
      <sz val="16"/>
      <color rgb="FF000000"/>
      <name val="TH Sarabun New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4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0">
    <xf numFmtId="0" fontId="0" fillId="0" borderId="0" xfId="0"/>
    <xf numFmtId="0" fontId="2" fillId="0" borderId="0" xfId="0" applyFont="1"/>
    <xf numFmtId="0" fontId="2" fillId="2" borderId="0" xfId="0" applyFont="1" applyFill="1"/>
    <xf numFmtId="187" fontId="2" fillId="2" borderId="0" xfId="0" applyNumberFormat="1" applyFont="1" applyFill="1"/>
    <xf numFmtId="188" fontId="2" fillId="2" borderId="0" xfId="0" applyNumberFormat="1" applyFont="1" applyFill="1"/>
    <xf numFmtId="0" fontId="2" fillId="8" borderId="6" xfId="0" applyFont="1" applyFill="1" applyBorder="1"/>
    <xf numFmtId="189" fontId="2" fillId="8" borderId="6" xfId="0" applyNumberFormat="1" applyFont="1" applyFill="1" applyBorder="1"/>
    <xf numFmtId="188" fontId="2" fillId="8" borderId="6" xfId="0" applyNumberFormat="1" applyFont="1" applyFill="1" applyBorder="1"/>
    <xf numFmtId="0" fontId="2" fillId="8" borderId="7" xfId="0" applyFont="1" applyFill="1" applyBorder="1"/>
    <xf numFmtId="0" fontId="1" fillId="8" borderId="7" xfId="0" applyFont="1" applyFill="1" applyBorder="1"/>
    <xf numFmtId="0" fontId="4" fillId="8" borderId="7" xfId="0" applyFont="1" applyFill="1" applyBorder="1"/>
    <xf numFmtId="0" fontId="2" fillId="8" borderId="8" xfId="0" applyFont="1" applyFill="1" applyBorder="1"/>
    <xf numFmtId="0" fontId="1" fillId="8" borderId="8" xfId="0" applyFont="1" applyFill="1" applyBorder="1" applyAlignment="1">
      <alignment horizontal="center"/>
    </xf>
    <xf numFmtId="189" fontId="2" fillId="8" borderId="8" xfId="0" applyNumberFormat="1" applyFont="1" applyFill="1" applyBorder="1"/>
    <xf numFmtId="188" fontId="2" fillId="8" borderId="8" xfId="0" applyNumberFormat="1" applyFont="1" applyFill="1" applyBorder="1"/>
    <xf numFmtId="188" fontId="1" fillId="8" borderId="8" xfId="0" applyNumberFormat="1" applyFont="1" applyFill="1" applyBorder="1" applyAlignment="1">
      <alignment horizontal="right"/>
    </xf>
    <xf numFmtId="0" fontId="2" fillId="8" borderId="8" xfId="0" applyFont="1" applyFill="1" applyBorder="1" applyAlignment="1">
      <alignment horizontal="center"/>
    </xf>
    <xf numFmtId="188" fontId="2" fillId="8" borderId="8" xfId="0" applyNumberFormat="1" applyFont="1" applyFill="1" applyBorder="1" applyAlignment="1">
      <alignment horizontal="right"/>
    </xf>
    <xf numFmtId="0" fontId="5" fillId="8" borderId="7" xfId="0" applyFont="1" applyFill="1" applyBorder="1"/>
    <xf numFmtId="0" fontId="2" fillId="8" borderId="3" xfId="0" applyFont="1" applyFill="1" applyBorder="1"/>
    <xf numFmtId="0" fontId="2" fillId="8" borderId="4" xfId="0" applyFont="1" applyFill="1" applyBorder="1"/>
    <xf numFmtId="0" fontId="2" fillId="8" borderId="4" xfId="0" applyFont="1" applyFill="1" applyBorder="1" applyAlignment="1">
      <alignment horizontal="center"/>
    </xf>
    <xf numFmtId="189" fontId="2" fillId="8" borderId="4" xfId="0" applyNumberFormat="1" applyFont="1" applyFill="1" applyBorder="1"/>
    <xf numFmtId="188" fontId="2" fillId="8" borderId="4" xfId="0" applyNumberFormat="1" applyFont="1" applyFill="1" applyBorder="1"/>
    <xf numFmtId="188" fontId="2" fillId="8" borderId="4" xfId="0" applyNumberFormat="1" applyFont="1" applyFill="1" applyBorder="1" applyAlignment="1">
      <alignment horizontal="right"/>
    </xf>
    <xf numFmtId="0" fontId="2" fillId="9" borderId="4" xfId="0" applyFont="1" applyFill="1" applyBorder="1"/>
    <xf numFmtId="189" fontId="2" fillId="9" borderId="4" xfId="0" applyNumberFormat="1" applyFont="1" applyFill="1" applyBorder="1"/>
    <xf numFmtId="188" fontId="2" fillId="9" borderId="4" xfId="0" applyNumberFormat="1" applyFont="1" applyFill="1" applyBorder="1"/>
    <xf numFmtId="0" fontId="2" fillId="10" borderId="7" xfId="0" applyFont="1" applyFill="1" applyBorder="1"/>
    <xf numFmtId="0" fontId="1" fillId="10" borderId="7" xfId="0" applyFont="1" applyFill="1" applyBorder="1"/>
    <xf numFmtId="0" fontId="4" fillId="10" borderId="7" xfId="0" applyFont="1" applyFill="1" applyBorder="1"/>
    <xf numFmtId="0" fontId="2" fillId="10" borderId="8" xfId="0" applyFont="1" applyFill="1" applyBorder="1"/>
    <xf numFmtId="0" fontId="1" fillId="10" borderId="8" xfId="0" applyFont="1" applyFill="1" applyBorder="1" applyAlignment="1">
      <alignment horizontal="center"/>
    </xf>
    <xf numFmtId="189" fontId="2" fillId="10" borderId="8" xfId="0" applyNumberFormat="1" applyFont="1" applyFill="1" applyBorder="1"/>
    <xf numFmtId="188" fontId="2" fillId="10" borderId="8" xfId="0" applyNumberFormat="1" applyFont="1" applyFill="1" applyBorder="1"/>
    <xf numFmtId="188" fontId="1" fillId="10" borderId="8" xfId="0" applyNumberFormat="1" applyFont="1" applyFill="1" applyBorder="1" applyAlignment="1">
      <alignment horizontal="right"/>
    </xf>
    <xf numFmtId="0" fontId="2" fillId="10" borderId="8" xfId="0" applyFont="1" applyFill="1" applyBorder="1" applyAlignment="1">
      <alignment horizontal="center"/>
    </xf>
    <xf numFmtId="188" fontId="2" fillId="10" borderId="8" xfId="0" applyNumberFormat="1" applyFont="1" applyFill="1" applyBorder="1" applyAlignment="1">
      <alignment horizontal="right"/>
    </xf>
    <xf numFmtId="0" fontId="2" fillId="2" borderId="7" xfId="0" applyFont="1" applyFill="1" applyBorder="1"/>
    <xf numFmtId="0" fontId="5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189" fontId="2" fillId="2" borderId="8" xfId="0" applyNumberFormat="1" applyFont="1" applyFill="1" applyBorder="1"/>
    <xf numFmtId="188" fontId="2" fillId="2" borderId="8" xfId="0" applyNumberFormat="1" applyFont="1" applyFill="1" applyBorder="1"/>
    <xf numFmtId="188" fontId="2" fillId="2" borderId="8" xfId="0" applyNumberFormat="1" applyFont="1" applyFill="1" applyBorder="1" applyAlignment="1">
      <alignment horizontal="right"/>
    </xf>
    <xf numFmtId="0" fontId="2" fillId="2" borderId="9" xfId="0" applyFont="1" applyFill="1" applyBorder="1"/>
    <xf numFmtId="0" fontId="5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89" fontId="2" fillId="2" borderId="10" xfId="0" applyNumberFormat="1" applyFont="1" applyFill="1" applyBorder="1"/>
    <xf numFmtId="188" fontId="2" fillId="2" borderId="10" xfId="0" applyNumberFormat="1" applyFont="1" applyFill="1" applyBorder="1"/>
    <xf numFmtId="188" fontId="2" fillId="2" borderId="10" xfId="0" applyNumberFormat="1" applyFont="1" applyFill="1" applyBorder="1" applyAlignment="1">
      <alignment horizontal="right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189" fontId="2" fillId="2" borderId="4" xfId="0" applyNumberFormat="1" applyFont="1" applyFill="1" applyBorder="1"/>
    <xf numFmtId="188" fontId="2" fillId="2" borderId="4" xfId="0" applyNumberFormat="1" applyFont="1" applyFill="1" applyBorder="1"/>
    <xf numFmtId="188" fontId="2" fillId="2" borderId="4" xfId="0" applyNumberFormat="1" applyFont="1" applyFill="1" applyBorder="1" applyAlignment="1">
      <alignment horizontal="right"/>
    </xf>
    <xf numFmtId="0" fontId="2" fillId="11" borderId="11" xfId="0" applyFont="1" applyFill="1" applyBorder="1"/>
    <xf numFmtId="189" fontId="2" fillId="11" borderId="11" xfId="0" applyNumberFormat="1" applyFont="1" applyFill="1" applyBorder="1"/>
    <xf numFmtId="188" fontId="2" fillId="11" borderId="11" xfId="0" applyNumberFormat="1" applyFont="1" applyFill="1" applyBorder="1"/>
    <xf numFmtId="188" fontId="1" fillId="11" borderId="11" xfId="0" applyNumberFormat="1" applyFont="1" applyFill="1" applyBorder="1" applyAlignment="1">
      <alignment horizontal="right"/>
    </xf>
    <xf numFmtId="0" fontId="2" fillId="12" borderId="1" xfId="0" applyFont="1" applyFill="1" applyBorder="1"/>
    <xf numFmtId="189" fontId="2" fillId="12" borderId="1" xfId="0" applyNumberFormat="1" applyFont="1" applyFill="1" applyBorder="1"/>
    <xf numFmtId="188" fontId="2" fillId="12" borderId="1" xfId="0" applyNumberFormat="1" applyFont="1" applyFill="1" applyBorder="1"/>
    <xf numFmtId="0" fontId="2" fillId="13" borderId="7" xfId="0" applyFont="1" applyFill="1" applyBorder="1"/>
    <xf numFmtId="0" fontId="1" fillId="13" borderId="7" xfId="0" applyFont="1" applyFill="1" applyBorder="1"/>
    <xf numFmtId="0" fontId="2" fillId="13" borderId="12" xfId="0" applyFont="1" applyFill="1" applyBorder="1"/>
    <xf numFmtId="189" fontId="2" fillId="13" borderId="12" xfId="0" applyNumberFormat="1" applyFont="1" applyFill="1" applyBorder="1"/>
    <xf numFmtId="188" fontId="2" fillId="13" borderId="12" xfId="0" applyNumberFormat="1" applyFont="1" applyFill="1" applyBorder="1"/>
    <xf numFmtId="0" fontId="2" fillId="14" borderId="7" xfId="0" applyFont="1" applyFill="1" applyBorder="1"/>
    <xf numFmtId="0" fontId="4" fillId="14" borderId="7" xfId="0" applyFont="1" applyFill="1" applyBorder="1"/>
    <xf numFmtId="0" fontId="2" fillId="14" borderId="8" xfId="0" applyFont="1" applyFill="1" applyBorder="1"/>
    <xf numFmtId="0" fontId="1" fillId="14" borderId="8" xfId="0" applyFont="1" applyFill="1" applyBorder="1" applyAlignment="1">
      <alignment horizontal="center"/>
    </xf>
    <xf numFmtId="189" fontId="2" fillId="14" borderId="8" xfId="0" applyNumberFormat="1" applyFont="1" applyFill="1" applyBorder="1"/>
    <xf numFmtId="188" fontId="2" fillId="14" borderId="8" xfId="0" applyNumberFormat="1" applyFont="1" applyFill="1" applyBorder="1"/>
    <xf numFmtId="188" fontId="1" fillId="14" borderId="8" xfId="0" applyNumberFormat="1" applyFont="1" applyFill="1" applyBorder="1" applyAlignment="1">
      <alignment horizontal="right"/>
    </xf>
    <xf numFmtId="0" fontId="2" fillId="14" borderId="8" xfId="0" applyFont="1" applyFill="1" applyBorder="1" applyAlignment="1">
      <alignment horizontal="center"/>
    </xf>
    <xf numFmtId="188" fontId="2" fillId="14" borderId="8" xfId="0" applyNumberFormat="1" applyFont="1" applyFill="1" applyBorder="1" applyAlignment="1">
      <alignment horizontal="right"/>
    </xf>
    <xf numFmtId="0" fontId="2" fillId="15" borderId="1" xfId="0" applyFont="1" applyFill="1" applyBorder="1"/>
    <xf numFmtId="189" fontId="2" fillId="15" borderId="1" xfId="0" applyNumberFormat="1" applyFont="1" applyFill="1" applyBorder="1"/>
    <xf numFmtId="188" fontId="2" fillId="15" borderId="1" xfId="0" applyNumberFormat="1" applyFont="1" applyFill="1" applyBorder="1"/>
    <xf numFmtId="0" fontId="2" fillId="16" borderId="8" xfId="0" applyFont="1" applyFill="1" applyBorder="1"/>
    <xf numFmtId="189" fontId="2" fillId="16" borderId="8" xfId="0" applyNumberFormat="1" applyFont="1" applyFill="1" applyBorder="1"/>
    <xf numFmtId="188" fontId="2" fillId="16" borderId="8" xfId="0" applyNumberFormat="1" applyFont="1" applyFill="1" applyBorder="1"/>
    <xf numFmtId="0" fontId="1" fillId="17" borderId="7" xfId="0" applyFont="1" applyFill="1" applyBorder="1"/>
    <xf numFmtId="0" fontId="2" fillId="17" borderId="7" xfId="0" applyFont="1" applyFill="1" applyBorder="1"/>
    <xf numFmtId="0" fontId="2" fillId="17" borderId="8" xfId="0" applyFont="1" applyFill="1" applyBorder="1"/>
    <xf numFmtId="189" fontId="2" fillId="17" borderId="8" xfId="0" applyNumberFormat="1" applyFont="1" applyFill="1" applyBorder="1"/>
    <xf numFmtId="188" fontId="2" fillId="17" borderId="8" xfId="0" applyNumberFormat="1" applyFont="1" applyFill="1" applyBorder="1"/>
    <xf numFmtId="0" fontId="2" fillId="18" borderId="7" xfId="0" applyFont="1" applyFill="1" applyBorder="1"/>
    <xf numFmtId="0" fontId="4" fillId="18" borderId="7" xfId="0" applyFont="1" applyFill="1" applyBorder="1"/>
    <xf numFmtId="0" fontId="2" fillId="18" borderId="8" xfId="0" applyFont="1" applyFill="1" applyBorder="1"/>
    <xf numFmtId="0" fontId="1" fillId="18" borderId="8" xfId="0" applyFont="1" applyFill="1" applyBorder="1" applyAlignment="1">
      <alignment horizontal="center"/>
    </xf>
    <xf numFmtId="189" fontId="2" fillId="18" borderId="8" xfId="0" applyNumberFormat="1" applyFont="1" applyFill="1" applyBorder="1"/>
    <xf numFmtId="188" fontId="2" fillId="18" borderId="8" xfId="0" applyNumberFormat="1" applyFont="1" applyFill="1" applyBorder="1"/>
    <xf numFmtId="188" fontId="1" fillId="18" borderId="8" xfId="0" applyNumberFormat="1" applyFont="1" applyFill="1" applyBorder="1" applyAlignment="1">
      <alignment horizontal="right"/>
    </xf>
    <xf numFmtId="0" fontId="2" fillId="18" borderId="8" xfId="0" applyFont="1" applyFill="1" applyBorder="1" applyAlignment="1">
      <alignment horizontal="center"/>
    </xf>
    <xf numFmtId="188" fontId="2" fillId="18" borderId="8" xfId="0" applyNumberFormat="1" applyFont="1" applyFill="1" applyBorder="1" applyAlignment="1">
      <alignment horizontal="right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189" fontId="2" fillId="2" borderId="11" xfId="0" applyNumberFormat="1" applyFont="1" applyFill="1" applyBorder="1"/>
    <xf numFmtId="188" fontId="2" fillId="2" borderId="11" xfId="0" applyNumberFormat="1" applyFont="1" applyFill="1" applyBorder="1"/>
    <xf numFmtId="188" fontId="2" fillId="2" borderId="11" xfId="0" applyNumberFormat="1" applyFont="1" applyFill="1" applyBorder="1" applyAlignment="1">
      <alignment horizontal="right"/>
    </xf>
    <xf numFmtId="187" fontId="2" fillId="19" borderId="1" xfId="0" applyNumberFormat="1" applyFont="1" applyFill="1" applyBorder="1"/>
    <xf numFmtId="0" fontId="2" fillId="19" borderId="1" xfId="0" applyFont="1" applyFill="1" applyBorder="1"/>
    <xf numFmtId="189" fontId="2" fillId="19" borderId="1" xfId="0" applyNumberFormat="1" applyFont="1" applyFill="1" applyBorder="1"/>
    <xf numFmtId="188" fontId="2" fillId="19" borderId="1" xfId="0" applyNumberFormat="1" applyFont="1" applyFill="1" applyBorder="1"/>
    <xf numFmtId="0" fontId="2" fillId="20" borderId="7" xfId="0" applyFont="1" applyFill="1" applyBorder="1"/>
    <xf numFmtId="187" fontId="2" fillId="20" borderId="7" xfId="0" applyNumberFormat="1" applyFont="1" applyFill="1" applyBorder="1"/>
    <xf numFmtId="0" fontId="2" fillId="20" borderId="8" xfId="0" applyFont="1" applyFill="1" applyBorder="1"/>
    <xf numFmtId="189" fontId="2" fillId="20" borderId="8" xfId="0" applyNumberFormat="1" applyFont="1" applyFill="1" applyBorder="1"/>
    <xf numFmtId="188" fontId="2" fillId="20" borderId="8" xfId="0" applyNumberFormat="1" applyFont="1" applyFill="1" applyBorder="1"/>
    <xf numFmtId="187" fontId="2" fillId="10" borderId="7" xfId="0" applyNumberFormat="1" applyFont="1" applyFill="1" applyBorder="1"/>
    <xf numFmtId="0" fontId="1" fillId="10" borderId="8" xfId="0" applyFont="1" applyFill="1" applyBorder="1" applyAlignment="1">
      <alignment horizontal="center" wrapText="1"/>
    </xf>
    <xf numFmtId="189" fontId="1" fillId="10" borderId="8" xfId="0" applyNumberFormat="1" applyFont="1" applyFill="1" applyBorder="1" applyAlignment="1">
      <alignment horizontal="right"/>
    </xf>
    <xf numFmtId="0" fontId="4" fillId="2" borderId="7" xfId="0" applyFont="1" applyFill="1" applyBorder="1"/>
    <xf numFmtId="187" fontId="1" fillId="2" borderId="8" xfId="0" applyNumberFormat="1" applyFont="1" applyFill="1" applyBorder="1" applyAlignment="1">
      <alignment horizontal="center"/>
    </xf>
    <xf numFmtId="188" fontId="1" fillId="2" borderId="8" xfId="0" applyNumberFormat="1" applyFont="1" applyFill="1" applyBorder="1" applyAlignment="1">
      <alignment horizontal="right"/>
    </xf>
    <xf numFmtId="187" fontId="2" fillId="2" borderId="8" xfId="0" applyNumberFormat="1" applyFont="1" applyFill="1" applyBorder="1" applyAlignment="1">
      <alignment horizontal="center"/>
    </xf>
    <xf numFmtId="187" fontId="2" fillId="0" borderId="8" xfId="0" applyNumberFormat="1" applyFont="1" applyBorder="1" applyAlignment="1">
      <alignment horizontal="center" wrapText="1"/>
    </xf>
    <xf numFmtId="189" fontId="2" fillId="0" borderId="8" xfId="0" applyNumberFormat="1" applyFont="1" applyBorder="1"/>
    <xf numFmtId="188" fontId="2" fillId="0" borderId="8" xfId="0" applyNumberFormat="1" applyFont="1" applyBorder="1"/>
    <xf numFmtId="187" fontId="2" fillId="0" borderId="8" xfId="0" applyNumberFormat="1" applyFont="1" applyBorder="1" applyAlignment="1">
      <alignment horizontal="center"/>
    </xf>
    <xf numFmtId="187" fontId="2" fillId="0" borderId="7" xfId="0" applyNumberFormat="1" applyFont="1" applyBorder="1"/>
    <xf numFmtId="0" fontId="4" fillId="21" borderId="7" xfId="0" quotePrefix="1" applyFont="1" applyFill="1" applyBorder="1"/>
    <xf numFmtId="0" fontId="2" fillId="21" borderId="7" xfId="0" applyFont="1" applyFill="1" applyBorder="1"/>
    <xf numFmtId="0" fontId="2" fillId="21" borderId="8" xfId="0" applyFont="1" applyFill="1" applyBorder="1"/>
    <xf numFmtId="0" fontId="2" fillId="0" borderId="8" xfId="0" applyFont="1" applyBorder="1"/>
    <xf numFmtId="0" fontId="2" fillId="0" borderId="7" xfId="0" quotePrefix="1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 wrapText="1"/>
    </xf>
    <xf numFmtId="189" fontId="1" fillId="2" borderId="8" xfId="0" applyNumberFormat="1" applyFont="1" applyFill="1" applyBorder="1" applyAlignment="1">
      <alignment horizontal="right"/>
    </xf>
    <xf numFmtId="188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189" fontId="2" fillId="0" borderId="8" xfId="0" applyNumberFormat="1" applyFont="1" applyBorder="1" applyAlignment="1">
      <alignment horizontal="right"/>
    </xf>
    <xf numFmtId="188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wrapText="1"/>
    </xf>
    <xf numFmtId="187" fontId="6" fillId="8" borderId="7" xfId="0" applyNumberFormat="1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8" borderId="8" xfId="0" applyFont="1" applyFill="1" applyBorder="1" applyAlignment="1">
      <alignment horizontal="center"/>
    </xf>
    <xf numFmtId="189" fontId="6" fillId="8" borderId="8" xfId="0" applyNumberFormat="1" applyFont="1" applyFill="1" applyBorder="1" applyAlignment="1">
      <alignment horizontal="right"/>
    </xf>
    <xf numFmtId="188" fontId="6" fillId="8" borderId="8" xfId="0" applyNumberFormat="1" applyFont="1" applyFill="1" applyBorder="1" applyAlignment="1">
      <alignment horizontal="right"/>
    </xf>
    <xf numFmtId="0" fontId="1" fillId="0" borderId="7" xfId="0" applyFont="1" applyBorder="1"/>
    <xf numFmtId="189" fontId="2" fillId="2" borderId="8" xfId="0" applyNumberFormat="1" applyFont="1" applyFill="1" applyBorder="1" applyAlignment="1">
      <alignment horizontal="right"/>
    </xf>
    <xf numFmtId="0" fontId="7" fillId="8" borderId="7" xfId="0" applyFont="1" applyFill="1" applyBorder="1"/>
    <xf numFmtId="189" fontId="6" fillId="8" borderId="8" xfId="0" applyNumberFormat="1" applyFont="1" applyFill="1" applyBorder="1"/>
    <xf numFmtId="188" fontId="6" fillId="8" borderId="8" xfId="0" applyNumberFormat="1" applyFont="1" applyFill="1" applyBorder="1"/>
    <xf numFmtId="0" fontId="7" fillId="8" borderId="8" xfId="0" applyFont="1" applyFill="1" applyBorder="1" applyAlignment="1">
      <alignment horizontal="center"/>
    </xf>
    <xf numFmtId="189" fontId="7" fillId="8" borderId="8" xfId="0" applyNumberFormat="1" applyFont="1" applyFill="1" applyBorder="1" applyAlignment="1">
      <alignment horizontal="right"/>
    </xf>
    <xf numFmtId="188" fontId="7" fillId="8" borderId="8" xfId="0" applyNumberFormat="1" applyFont="1" applyFill="1" applyBorder="1" applyAlignment="1">
      <alignment horizontal="right"/>
    </xf>
    <xf numFmtId="190" fontId="2" fillId="8" borderId="7" xfId="0" applyNumberFormat="1" applyFont="1" applyFill="1" applyBorder="1"/>
    <xf numFmtId="189" fontId="2" fillId="8" borderId="7" xfId="0" applyNumberFormat="1" applyFont="1" applyFill="1" applyBorder="1"/>
    <xf numFmtId="188" fontId="2" fillId="8" borderId="7" xfId="0" applyNumberFormat="1" applyFont="1" applyFill="1" applyBorder="1"/>
    <xf numFmtId="187" fontId="2" fillId="8" borderId="7" xfId="0" applyNumberFormat="1" applyFont="1" applyFill="1" applyBorder="1"/>
    <xf numFmtId="189" fontId="2" fillId="8" borderId="8" xfId="0" applyNumberFormat="1" applyFont="1" applyFill="1" applyBorder="1" applyAlignment="1">
      <alignment horizontal="right"/>
    </xf>
    <xf numFmtId="187" fontId="1" fillId="8" borderId="8" xfId="0" applyNumberFormat="1" applyFont="1" applyFill="1" applyBorder="1" applyAlignment="1">
      <alignment horizontal="center"/>
    </xf>
    <xf numFmtId="187" fontId="6" fillId="8" borderId="8" xfId="0" applyNumberFormat="1" applyFont="1" applyFill="1" applyBorder="1" applyAlignment="1">
      <alignment horizontal="center"/>
    </xf>
    <xf numFmtId="187" fontId="2" fillId="8" borderId="8" xfId="0" applyNumberFormat="1" applyFont="1" applyFill="1" applyBorder="1" applyAlignment="1">
      <alignment horizontal="center"/>
    </xf>
    <xf numFmtId="187" fontId="2" fillId="8" borderId="8" xfId="0" applyNumberFormat="1" applyFont="1" applyFill="1" applyBorder="1" applyAlignment="1">
      <alignment horizontal="center" wrapText="1"/>
    </xf>
    <xf numFmtId="187" fontId="6" fillId="8" borderId="8" xfId="0" applyNumberFormat="1" applyFont="1" applyFill="1" applyBorder="1" applyAlignment="1">
      <alignment horizontal="center" wrapText="1"/>
    </xf>
    <xf numFmtId="190" fontId="2" fillId="20" borderId="7" xfId="0" applyNumberFormat="1" applyFont="1" applyFill="1" applyBorder="1"/>
    <xf numFmtId="189" fontId="2" fillId="20" borderId="7" xfId="0" applyNumberFormat="1" applyFont="1" applyFill="1" applyBorder="1"/>
    <xf numFmtId="188" fontId="2" fillId="20" borderId="7" xfId="0" applyNumberFormat="1" applyFont="1" applyFill="1" applyBorder="1"/>
    <xf numFmtId="190" fontId="2" fillId="10" borderId="7" xfId="0" applyNumberFormat="1" applyFont="1" applyFill="1" applyBorder="1"/>
    <xf numFmtId="190" fontId="1" fillId="10" borderId="7" xfId="0" applyNumberFormat="1" applyFont="1" applyFill="1" applyBorder="1"/>
    <xf numFmtId="187" fontId="2" fillId="0" borderId="8" xfId="0" applyNumberFormat="1" applyFont="1" applyBorder="1"/>
    <xf numFmtId="0" fontId="2" fillId="0" borderId="9" xfId="0" applyFont="1" applyBorder="1"/>
    <xf numFmtId="187" fontId="2" fillId="0" borderId="10" xfId="0" applyNumberFormat="1" applyFont="1" applyBorder="1" applyAlignment="1">
      <alignment horizontal="center"/>
    </xf>
    <xf numFmtId="189" fontId="2" fillId="2" borderId="10" xfId="0" applyNumberFormat="1" applyFont="1" applyFill="1" applyBorder="1" applyAlignment="1">
      <alignment horizontal="right"/>
    </xf>
    <xf numFmtId="0" fontId="8" fillId="2" borderId="9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187" fontId="2" fillId="0" borderId="14" xfId="0" applyNumberFormat="1" applyFont="1" applyBorder="1" applyAlignment="1">
      <alignment horizontal="center"/>
    </xf>
    <xf numFmtId="189" fontId="2" fillId="2" borderId="14" xfId="0" applyNumberFormat="1" applyFont="1" applyFill="1" applyBorder="1" applyAlignment="1">
      <alignment horizontal="right"/>
    </xf>
    <xf numFmtId="188" fontId="2" fillId="2" borderId="14" xfId="0" applyNumberFormat="1" applyFont="1" applyFill="1" applyBorder="1"/>
    <xf numFmtId="0" fontId="2" fillId="20" borderId="9" xfId="0" applyFont="1" applyFill="1" applyBorder="1"/>
    <xf numFmtId="190" fontId="2" fillId="20" borderId="9" xfId="0" applyNumberFormat="1" applyFont="1" applyFill="1" applyBorder="1"/>
    <xf numFmtId="189" fontId="2" fillId="20" borderId="9" xfId="0" applyNumberFormat="1" applyFont="1" applyFill="1" applyBorder="1"/>
    <xf numFmtId="188" fontId="2" fillId="20" borderId="9" xfId="0" applyNumberFormat="1" applyFont="1" applyFill="1" applyBorder="1"/>
    <xf numFmtId="188" fontId="2" fillId="20" borderId="10" xfId="0" applyNumberFormat="1" applyFont="1" applyFill="1" applyBorder="1"/>
    <xf numFmtId="187" fontId="1" fillId="10" borderId="8" xfId="0" applyNumberFormat="1" applyFont="1" applyFill="1" applyBorder="1" applyAlignment="1">
      <alignment horizontal="center"/>
    </xf>
    <xf numFmtId="187" fontId="2" fillId="0" borderId="11" xfId="0" applyNumberFormat="1" applyFont="1" applyBorder="1" applyAlignment="1">
      <alignment horizontal="center"/>
    </xf>
    <xf numFmtId="189" fontId="2" fillId="2" borderId="11" xfId="0" applyNumberFormat="1" applyFont="1" applyFill="1" applyBorder="1" applyAlignment="1">
      <alignment horizontal="right"/>
    </xf>
    <xf numFmtId="187" fontId="2" fillId="7" borderId="1" xfId="0" applyNumberFormat="1" applyFont="1" applyFill="1" applyBorder="1"/>
    <xf numFmtId="0" fontId="2" fillId="7" borderId="1" xfId="0" applyFont="1" applyFill="1" applyBorder="1"/>
    <xf numFmtId="189" fontId="2" fillId="7" borderId="1" xfId="0" applyNumberFormat="1" applyFont="1" applyFill="1" applyBorder="1"/>
    <xf numFmtId="188" fontId="2" fillId="7" borderId="1" xfId="0" applyNumberFormat="1" applyFont="1" applyFill="1" applyBorder="1"/>
    <xf numFmtId="187" fontId="2" fillId="22" borderId="7" xfId="0" applyNumberFormat="1" applyFont="1" applyFill="1" applyBorder="1"/>
    <xf numFmtId="0" fontId="2" fillId="22" borderId="7" xfId="0" applyFont="1" applyFill="1" applyBorder="1"/>
    <xf numFmtId="0" fontId="2" fillId="22" borderId="8" xfId="0" applyFont="1" applyFill="1" applyBorder="1"/>
    <xf numFmtId="189" fontId="2" fillId="22" borderId="8" xfId="0" applyNumberFormat="1" applyFont="1" applyFill="1" applyBorder="1"/>
    <xf numFmtId="188" fontId="2" fillId="22" borderId="8" xfId="0" applyNumberFormat="1" applyFont="1" applyFill="1" applyBorder="1"/>
    <xf numFmtId="0" fontId="1" fillId="21" borderId="7" xfId="0" applyFont="1" applyFill="1" applyBorder="1"/>
    <xf numFmtId="187" fontId="2" fillId="21" borderId="7" xfId="0" applyNumberFormat="1" applyFont="1" applyFill="1" applyBorder="1"/>
    <xf numFmtId="0" fontId="1" fillId="21" borderId="8" xfId="0" applyFont="1" applyFill="1" applyBorder="1" applyAlignment="1">
      <alignment horizontal="center" wrapText="1"/>
    </xf>
    <xf numFmtId="189" fontId="1" fillId="21" borderId="8" xfId="0" applyNumberFormat="1" applyFont="1" applyFill="1" applyBorder="1" applyAlignment="1">
      <alignment horizontal="right"/>
    </xf>
    <xf numFmtId="188" fontId="1" fillId="21" borderId="8" xfId="0" applyNumberFormat="1" applyFont="1" applyFill="1" applyBorder="1" applyAlignment="1">
      <alignment horizontal="right"/>
    </xf>
    <xf numFmtId="188" fontId="2" fillId="21" borderId="8" xfId="0" applyNumberFormat="1" applyFont="1" applyFill="1" applyBorder="1"/>
    <xf numFmtId="187" fontId="2" fillId="2" borderId="7" xfId="0" applyNumberFormat="1" applyFont="1" applyFill="1" applyBorder="1"/>
    <xf numFmtId="0" fontId="2" fillId="2" borderId="8" xfId="0" applyFont="1" applyFill="1" applyBorder="1" applyAlignment="1">
      <alignment horizontal="center" wrapText="1"/>
    </xf>
    <xf numFmtId="187" fontId="2" fillId="23" borderId="7" xfId="0" applyNumberFormat="1" applyFont="1" applyFill="1" applyBorder="1"/>
    <xf numFmtId="0" fontId="1" fillId="23" borderId="7" xfId="0" applyFont="1" applyFill="1" applyBorder="1"/>
    <xf numFmtId="0" fontId="2" fillId="23" borderId="7" xfId="0" applyFont="1" applyFill="1" applyBorder="1"/>
    <xf numFmtId="0" fontId="2" fillId="23" borderId="8" xfId="0" applyFont="1" applyFill="1" applyBorder="1"/>
    <xf numFmtId="0" fontId="1" fillId="23" borderId="8" xfId="0" applyFont="1" applyFill="1" applyBorder="1" applyAlignment="1">
      <alignment horizontal="center" wrapText="1"/>
    </xf>
    <xf numFmtId="189" fontId="1" fillId="23" borderId="8" xfId="0" applyNumberFormat="1" applyFont="1" applyFill="1" applyBorder="1" applyAlignment="1">
      <alignment horizontal="right"/>
    </xf>
    <xf numFmtId="188" fontId="1" fillId="23" borderId="8" xfId="0" applyNumberFormat="1" applyFont="1" applyFill="1" applyBorder="1" applyAlignment="1">
      <alignment horizontal="right"/>
    </xf>
    <xf numFmtId="188" fontId="2" fillId="23" borderId="8" xfId="0" applyNumberFormat="1" applyFont="1" applyFill="1" applyBorder="1"/>
    <xf numFmtId="0" fontId="4" fillId="2" borderId="7" xfId="0" quotePrefix="1" applyFont="1" applyFill="1" applyBorder="1"/>
    <xf numFmtId="187" fontId="1" fillId="0" borderId="8" xfId="0" applyNumberFormat="1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3" borderId="8" xfId="0" applyFont="1" applyFill="1" applyBorder="1" applyAlignment="1">
      <alignment horizontal="center"/>
    </xf>
    <xf numFmtId="0" fontId="9" fillId="2" borderId="9" xfId="0" applyFont="1" applyFill="1" applyBorder="1"/>
    <xf numFmtId="0" fontId="9" fillId="2" borderId="7" xfId="0" applyFont="1" applyFill="1" applyBorder="1"/>
    <xf numFmtId="187" fontId="2" fillId="24" borderId="7" xfId="0" applyNumberFormat="1" applyFont="1" applyFill="1" applyBorder="1"/>
    <xf numFmtId="0" fontId="2" fillId="24" borderId="7" xfId="0" applyFont="1" applyFill="1" applyBorder="1"/>
    <xf numFmtId="0" fontId="2" fillId="24" borderId="8" xfId="0" applyFont="1" applyFill="1" applyBorder="1"/>
    <xf numFmtId="187" fontId="2" fillId="24" borderId="8" xfId="0" applyNumberFormat="1" applyFont="1" applyFill="1" applyBorder="1" applyAlignment="1">
      <alignment horizontal="center" wrapText="1"/>
    </xf>
    <xf numFmtId="189" fontId="2" fillId="24" borderId="8" xfId="0" applyNumberFormat="1" applyFont="1" applyFill="1" applyBorder="1"/>
    <xf numFmtId="188" fontId="2" fillId="24" borderId="8" xfId="0" applyNumberFormat="1" applyFont="1" applyFill="1" applyBorder="1"/>
    <xf numFmtId="188" fontId="2" fillId="24" borderId="8" xfId="0" applyNumberFormat="1" applyFont="1" applyFill="1" applyBorder="1" applyAlignment="1">
      <alignment horizontal="right"/>
    </xf>
    <xf numFmtId="187" fontId="2" fillId="0" borderId="7" xfId="0" quotePrefix="1" applyNumberFormat="1" applyFont="1" applyBorder="1"/>
    <xf numFmtId="187" fontId="6" fillId="24" borderId="7" xfId="0" applyNumberFormat="1" applyFont="1" applyFill="1" applyBorder="1"/>
    <xf numFmtId="0" fontId="7" fillId="24" borderId="7" xfId="0" applyFont="1" applyFill="1" applyBorder="1"/>
    <xf numFmtId="0" fontId="6" fillId="24" borderId="7" xfId="0" applyFont="1" applyFill="1" applyBorder="1"/>
    <xf numFmtId="0" fontId="6" fillId="24" borderId="8" xfId="0" applyFont="1" applyFill="1" applyBorder="1"/>
    <xf numFmtId="0" fontId="7" fillId="24" borderId="8" xfId="0" applyFont="1" applyFill="1" applyBorder="1" applyAlignment="1">
      <alignment horizontal="center" wrapText="1"/>
    </xf>
    <xf numFmtId="189" fontId="7" fillId="24" borderId="8" xfId="0" applyNumberFormat="1" applyFont="1" applyFill="1" applyBorder="1" applyAlignment="1">
      <alignment horizontal="right"/>
    </xf>
    <xf numFmtId="188" fontId="7" fillId="24" borderId="8" xfId="0" applyNumberFormat="1" applyFont="1" applyFill="1" applyBorder="1" applyAlignment="1">
      <alignment horizontal="right"/>
    </xf>
    <xf numFmtId="0" fontId="10" fillId="24" borderId="7" xfId="0" applyFont="1" applyFill="1" applyBorder="1"/>
    <xf numFmtId="187" fontId="7" fillId="24" borderId="8" xfId="0" applyNumberFormat="1" applyFont="1" applyFill="1" applyBorder="1" applyAlignment="1">
      <alignment horizontal="center" wrapText="1"/>
    </xf>
    <xf numFmtId="189" fontId="6" fillId="24" borderId="8" xfId="0" applyNumberFormat="1" applyFont="1" applyFill="1" applyBorder="1"/>
    <xf numFmtId="188" fontId="6" fillId="24" borderId="8" xfId="0" applyNumberFormat="1" applyFont="1" applyFill="1" applyBorder="1"/>
    <xf numFmtId="188" fontId="1" fillId="24" borderId="8" xfId="0" applyNumberFormat="1" applyFont="1" applyFill="1" applyBorder="1" applyAlignment="1">
      <alignment horizontal="right"/>
    </xf>
    <xf numFmtId="187" fontId="6" fillId="24" borderId="8" xfId="0" applyNumberFormat="1" applyFont="1" applyFill="1" applyBorder="1" applyAlignment="1">
      <alignment horizontal="center" wrapText="1"/>
    </xf>
    <xf numFmtId="187" fontId="7" fillId="24" borderId="7" xfId="0" applyNumberFormat="1" applyFont="1" applyFill="1" applyBorder="1"/>
    <xf numFmtId="0" fontId="10" fillId="24" borderId="7" xfId="0" quotePrefix="1" applyFont="1" applyFill="1" applyBorder="1"/>
    <xf numFmtId="0" fontId="6" fillId="24" borderId="8" xfId="0" applyFont="1" applyFill="1" applyBorder="1" applyAlignment="1">
      <alignment horizontal="center"/>
    </xf>
    <xf numFmtId="189" fontId="6" fillId="24" borderId="8" xfId="0" applyNumberFormat="1" applyFont="1" applyFill="1" applyBorder="1" applyAlignment="1">
      <alignment horizontal="right"/>
    </xf>
    <xf numFmtId="188" fontId="6" fillId="24" borderId="8" xfId="0" applyNumberFormat="1" applyFont="1" applyFill="1" applyBorder="1" applyAlignment="1">
      <alignment horizontal="right"/>
    </xf>
    <xf numFmtId="187" fontId="6" fillId="24" borderId="7" xfId="0" quotePrefix="1" applyNumberFormat="1" applyFont="1" applyFill="1" applyBorder="1"/>
    <xf numFmtId="0" fontId="6" fillId="24" borderId="7" xfId="0" quotePrefix="1" applyFont="1" applyFill="1" applyBorder="1"/>
    <xf numFmtId="0" fontId="2" fillId="0" borderId="11" xfId="0" applyFont="1" applyBorder="1"/>
    <xf numFmtId="188" fontId="2" fillId="0" borderId="11" xfId="0" applyNumberFormat="1" applyFont="1" applyBorder="1" applyAlignment="1">
      <alignment horizontal="right"/>
    </xf>
    <xf numFmtId="188" fontId="2" fillId="0" borderId="11" xfId="0" applyNumberFormat="1" applyFont="1" applyBorder="1"/>
    <xf numFmtId="187" fontId="12" fillId="25" borderId="1" xfId="0" applyNumberFormat="1" applyFont="1" applyFill="1" applyBorder="1"/>
    <xf numFmtId="0" fontId="12" fillId="25" borderId="1" xfId="0" applyFont="1" applyFill="1" applyBorder="1"/>
    <xf numFmtId="189" fontId="12" fillId="25" borderId="1" xfId="0" applyNumberFormat="1" applyFont="1" applyFill="1" applyBorder="1"/>
    <xf numFmtId="188" fontId="12" fillId="25" borderId="1" xfId="0" applyNumberFormat="1" applyFont="1" applyFill="1" applyBorder="1"/>
    <xf numFmtId="188" fontId="2" fillId="25" borderId="1" xfId="0" applyNumberFormat="1" applyFont="1" applyFill="1" applyBorder="1"/>
    <xf numFmtId="0" fontId="2" fillId="26" borderId="7" xfId="0" applyFont="1" applyFill="1" applyBorder="1"/>
    <xf numFmtId="187" fontId="2" fillId="26" borderId="7" xfId="0" applyNumberFormat="1" applyFont="1" applyFill="1" applyBorder="1"/>
    <xf numFmtId="189" fontId="2" fillId="26" borderId="7" xfId="0" applyNumberFormat="1" applyFont="1" applyFill="1" applyBorder="1"/>
    <xf numFmtId="189" fontId="2" fillId="26" borderId="8" xfId="0" applyNumberFormat="1" applyFont="1" applyFill="1" applyBorder="1"/>
    <xf numFmtId="188" fontId="2" fillId="26" borderId="8" xfId="0" applyNumberFormat="1" applyFont="1" applyFill="1" applyBorder="1"/>
    <xf numFmtId="0" fontId="1" fillId="27" borderId="7" xfId="0" applyFont="1" applyFill="1" applyBorder="1"/>
    <xf numFmtId="0" fontId="2" fillId="27" borderId="7" xfId="0" applyFont="1" applyFill="1" applyBorder="1"/>
    <xf numFmtId="187" fontId="2" fillId="27" borderId="7" xfId="0" applyNumberFormat="1" applyFont="1" applyFill="1" applyBorder="1"/>
    <xf numFmtId="0" fontId="2" fillId="27" borderId="8" xfId="0" applyFont="1" applyFill="1" applyBorder="1"/>
    <xf numFmtId="0" fontId="1" fillId="27" borderId="8" xfId="0" applyFont="1" applyFill="1" applyBorder="1" applyAlignment="1">
      <alignment horizontal="center" wrapText="1"/>
    </xf>
    <xf numFmtId="189" fontId="1" fillId="27" borderId="8" xfId="0" applyNumberFormat="1" applyFont="1" applyFill="1" applyBorder="1" applyAlignment="1">
      <alignment horizontal="right"/>
    </xf>
    <xf numFmtId="188" fontId="1" fillId="27" borderId="8" xfId="0" applyNumberFormat="1" applyFont="1" applyFill="1" applyBorder="1" applyAlignment="1">
      <alignment horizontal="right"/>
    </xf>
    <xf numFmtId="188" fontId="2" fillId="27" borderId="8" xfId="0" applyNumberFormat="1" applyFont="1" applyFill="1" applyBorder="1"/>
    <xf numFmtId="0" fontId="2" fillId="8" borderId="11" xfId="0" applyFont="1" applyFill="1" applyBorder="1"/>
    <xf numFmtId="0" fontId="2" fillId="8" borderId="11" xfId="0" applyFont="1" applyFill="1" applyBorder="1" applyAlignment="1">
      <alignment horizontal="center"/>
    </xf>
    <xf numFmtId="189" fontId="2" fillId="8" borderId="11" xfId="0" applyNumberFormat="1" applyFont="1" applyFill="1" applyBorder="1" applyAlignment="1">
      <alignment horizontal="right"/>
    </xf>
    <xf numFmtId="188" fontId="2" fillId="8" borderId="11" xfId="0" applyNumberFormat="1" applyFont="1" applyFill="1" applyBorder="1" applyAlignment="1">
      <alignment horizontal="right"/>
    </xf>
    <xf numFmtId="188" fontId="2" fillId="8" borderId="11" xfId="0" applyNumberFormat="1" applyFont="1" applyFill="1" applyBorder="1"/>
    <xf numFmtId="187" fontId="2" fillId="28" borderId="1" xfId="0" applyNumberFormat="1" applyFont="1" applyFill="1" applyBorder="1"/>
    <xf numFmtId="0" fontId="2" fillId="28" borderId="1" xfId="0" applyFont="1" applyFill="1" applyBorder="1"/>
    <xf numFmtId="189" fontId="2" fillId="28" borderId="1" xfId="0" applyNumberFormat="1" applyFont="1" applyFill="1" applyBorder="1"/>
    <xf numFmtId="188" fontId="2" fillId="28" borderId="1" xfId="0" applyNumberFormat="1" applyFont="1" applyFill="1" applyBorder="1"/>
    <xf numFmtId="187" fontId="2" fillId="29" borderId="7" xfId="0" applyNumberFormat="1" applyFont="1" applyFill="1" applyBorder="1"/>
    <xf numFmtId="0" fontId="2" fillId="29" borderId="7" xfId="0" applyFont="1" applyFill="1" applyBorder="1"/>
    <xf numFmtId="0" fontId="2" fillId="29" borderId="8" xfId="0" applyFont="1" applyFill="1" applyBorder="1"/>
    <xf numFmtId="189" fontId="2" fillId="29" borderId="8" xfId="0" applyNumberFormat="1" applyFont="1" applyFill="1" applyBorder="1"/>
    <xf numFmtId="188" fontId="2" fillId="29" borderId="8" xfId="0" applyNumberFormat="1" applyFont="1" applyFill="1" applyBorder="1"/>
    <xf numFmtId="0" fontId="1" fillId="30" borderId="7" xfId="0" applyFont="1" applyFill="1" applyBorder="1"/>
    <xf numFmtId="0" fontId="2" fillId="30" borderId="7" xfId="0" applyFont="1" applyFill="1" applyBorder="1"/>
    <xf numFmtId="0" fontId="2" fillId="30" borderId="8" xfId="0" applyFont="1" applyFill="1" applyBorder="1"/>
    <xf numFmtId="0" fontId="1" fillId="30" borderId="8" xfId="0" applyFont="1" applyFill="1" applyBorder="1" applyAlignment="1">
      <alignment horizontal="center" wrapText="1"/>
    </xf>
    <xf numFmtId="189" fontId="1" fillId="30" borderId="8" xfId="0" applyNumberFormat="1" applyFont="1" applyFill="1" applyBorder="1" applyAlignment="1">
      <alignment horizontal="right"/>
    </xf>
    <xf numFmtId="188" fontId="1" fillId="30" borderId="8" xfId="0" applyNumberFormat="1" applyFont="1" applyFill="1" applyBorder="1" applyAlignment="1">
      <alignment horizontal="right"/>
    </xf>
    <xf numFmtId="188" fontId="2" fillId="30" borderId="8" xfId="0" applyNumberFormat="1" applyFont="1" applyFill="1" applyBorder="1"/>
    <xf numFmtId="190" fontId="2" fillId="30" borderId="7" xfId="0" applyNumberFormat="1" applyFont="1" applyFill="1" applyBorder="1"/>
    <xf numFmtId="187" fontId="2" fillId="30" borderId="7" xfId="0" applyNumberFormat="1" applyFont="1" applyFill="1" applyBorder="1"/>
    <xf numFmtId="189" fontId="13" fillId="30" borderId="15" xfId="0" applyNumberFormat="1" applyFont="1" applyFill="1" applyBorder="1" applyAlignment="1">
      <alignment horizontal="right"/>
    </xf>
    <xf numFmtId="189" fontId="13" fillId="30" borderId="10" xfId="0" applyNumberFormat="1" applyFont="1" applyFill="1" applyBorder="1" applyAlignment="1">
      <alignment horizontal="right"/>
    </xf>
    <xf numFmtId="188" fontId="13" fillId="30" borderId="10" xfId="0" applyNumberFormat="1" applyFont="1" applyFill="1" applyBorder="1" applyAlignment="1">
      <alignment horizontal="right"/>
    </xf>
    <xf numFmtId="0" fontId="2" fillId="2" borderId="12" xfId="0" applyFont="1" applyFill="1" applyBorder="1"/>
    <xf numFmtId="189" fontId="2" fillId="2" borderId="12" xfId="0" applyNumberFormat="1" applyFont="1" applyFill="1" applyBorder="1"/>
    <xf numFmtId="188" fontId="2" fillId="2" borderId="12" xfId="0" applyNumberFormat="1" applyFont="1" applyFill="1" applyBorder="1"/>
    <xf numFmtId="0" fontId="9" fillId="23" borderId="9" xfId="0" applyFont="1" applyFill="1" applyBorder="1"/>
    <xf numFmtId="187" fontId="9" fillId="23" borderId="9" xfId="0" applyNumberFormat="1" applyFont="1" applyFill="1" applyBorder="1"/>
    <xf numFmtId="187" fontId="14" fillId="23" borderId="9" xfId="0" applyNumberFormat="1" applyFont="1" applyFill="1" applyBorder="1"/>
    <xf numFmtId="0" fontId="9" fillId="23" borderId="10" xfId="0" applyFont="1" applyFill="1" applyBorder="1"/>
    <xf numFmtId="0" fontId="13" fillId="23" borderId="10" xfId="0" applyFont="1" applyFill="1" applyBorder="1" applyAlignment="1">
      <alignment horizontal="center" wrapText="1"/>
    </xf>
    <xf numFmtId="189" fontId="13" fillId="23" borderId="10" xfId="0" applyNumberFormat="1" applyFont="1" applyFill="1" applyBorder="1" applyAlignment="1">
      <alignment horizontal="right"/>
    </xf>
    <xf numFmtId="188" fontId="13" fillId="23" borderId="10" xfId="0" applyNumberFormat="1" applyFont="1" applyFill="1" applyBorder="1" applyAlignment="1">
      <alignment horizontal="right"/>
    </xf>
    <xf numFmtId="188" fontId="2" fillId="23" borderId="10" xfId="0" applyNumberFormat="1" applyFont="1" applyFill="1" applyBorder="1"/>
    <xf numFmtId="187" fontId="9" fillId="2" borderId="7" xfId="0" applyNumberFormat="1" applyFont="1" applyFill="1" applyBorder="1"/>
    <xf numFmtId="0" fontId="9" fillId="0" borderId="7" xfId="0" applyFont="1" applyBorder="1"/>
    <xf numFmtId="0" fontId="9" fillId="2" borderId="8" xfId="0" applyFont="1" applyFill="1" applyBorder="1"/>
    <xf numFmtId="0" fontId="9" fillId="2" borderId="8" xfId="0" applyFont="1" applyFill="1" applyBorder="1" applyAlignment="1">
      <alignment horizontal="center" wrapText="1"/>
    </xf>
    <xf numFmtId="189" fontId="9" fillId="2" borderId="8" xfId="0" applyNumberFormat="1" applyFont="1" applyFill="1" applyBorder="1" applyAlignment="1">
      <alignment horizontal="right"/>
    </xf>
    <xf numFmtId="188" fontId="9" fillId="2" borderId="8" xfId="0" applyNumberFormat="1" applyFont="1" applyFill="1" applyBorder="1" applyAlignment="1">
      <alignment horizontal="right"/>
    </xf>
    <xf numFmtId="187" fontId="9" fillId="2" borderId="8" xfId="0" applyNumberFormat="1" applyFont="1" applyFill="1" applyBorder="1"/>
    <xf numFmtId="189" fontId="9" fillId="2" borderId="8" xfId="0" applyNumberFormat="1" applyFont="1" applyFill="1" applyBorder="1"/>
    <xf numFmtId="188" fontId="9" fillId="2" borderId="8" xfId="0" applyNumberFormat="1" applyFont="1" applyFill="1" applyBorder="1"/>
    <xf numFmtId="187" fontId="9" fillId="2" borderId="8" xfId="0" applyNumberFormat="1" applyFont="1" applyFill="1" applyBorder="1" applyAlignment="1">
      <alignment horizontal="center" wrapText="1"/>
    </xf>
    <xf numFmtId="187" fontId="9" fillId="0" borderId="7" xfId="0" applyNumberFormat="1" applyFont="1" applyBorder="1"/>
    <xf numFmtId="187" fontId="15" fillId="2" borderId="7" xfId="0" applyNumberFormat="1" applyFont="1" applyFill="1" applyBorder="1"/>
    <xf numFmtId="0" fontId="9" fillId="23" borderId="7" xfId="0" applyFont="1" applyFill="1" applyBorder="1"/>
    <xf numFmtId="187" fontId="9" fillId="23" borderId="7" xfId="0" applyNumberFormat="1" applyFont="1" applyFill="1" applyBorder="1"/>
    <xf numFmtId="0" fontId="14" fillId="23" borderId="7" xfId="0" applyFont="1" applyFill="1" applyBorder="1"/>
    <xf numFmtId="0" fontId="9" fillId="23" borderId="8" xfId="0" applyFont="1" applyFill="1" applyBorder="1"/>
    <xf numFmtId="0" fontId="13" fillId="23" borderId="8" xfId="0" applyFont="1" applyFill="1" applyBorder="1" applyAlignment="1">
      <alignment horizontal="center" wrapText="1"/>
    </xf>
    <xf numFmtId="189" fontId="13" fillId="23" borderId="8" xfId="0" applyNumberFormat="1" applyFont="1" applyFill="1" applyBorder="1" applyAlignment="1">
      <alignment horizontal="right"/>
    </xf>
    <xf numFmtId="188" fontId="13" fillId="23" borderId="8" xfId="0" applyNumberFormat="1" applyFont="1" applyFill="1" applyBorder="1" applyAlignment="1">
      <alignment horizontal="right"/>
    </xf>
    <xf numFmtId="187" fontId="9" fillId="2" borderId="8" xfId="0" applyNumberFormat="1" applyFont="1" applyFill="1" applyBorder="1" applyAlignment="1">
      <alignment horizontal="center"/>
    </xf>
    <xf numFmtId="189" fontId="2" fillId="30" borderId="8" xfId="0" applyNumberFormat="1" applyFont="1" applyFill="1" applyBorder="1"/>
    <xf numFmtId="0" fontId="4" fillId="23" borderId="7" xfId="0" applyFont="1" applyFill="1" applyBorder="1"/>
    <xf numFmtId="189" fontId="1" fillId="23" borderId="8" xfId="0" applyNumberFormat="1" applyFont="1" applyFill="1" applyBorder="1"/>
    <xf numFmtId="188" fontId="1" fillId="23" borderId="8" xfId="0" applyNumberFormat="1" applyFont="1" applyFill="1" applyBorder="1"/>
    <xf numFmtId="0" fontId="2" fillId="0" borderId="11" xfId="0" applyFont="1" applyBorder="1" applyAlignment="1">
      <alignment horizontal="center"/>
    </xf>
    <xf numFmtId="187" fontId="16" fillId="2" borderId="16" xfId="0" applyNumberFormat="1" applyFont="1" applyFill="1" applyBorder="1"/>
    <xf numFmtId="0" fontId="1" fillId="2" borderId="16" xfId="0" applyFont="1" applyFill="1" applyBorder="1"/>
    <xf numFmtId="187" fontId="2" fillId="2" borderId="16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189" fontId="2" fillId="2" borderId="18" xfId="0" applyNumberFormat="1" applyFont="1" applyFill="1" applyBorder="1"/>
    <xf numFmtId="188" fontId="2" fillId="2" borderId="18" xfId="0" applyNumberFormat="1" applyFont="1" applyFill="1" applyBorder="1"/>
    <xf numFmtId="187" fontId="2" fillId="31" borderId="1" xfId="0" applyNumberFormat="1" applyFont="1" applyFill="1" applyBorder="1"/>
    <xf numFmtId="0" fontId="2" fillId="31" borderId="1" xfId="0" applyFont="1" applyFill="1" applyBorder="1"/>
    <xf numFmtId="189" fontId="2" fillId="31" borderId="1" xfId="0" applyNumberFormat="1" applyFont="1" applyFill="1" applyBorder="1"/>
    <xf numFmtId="188" fontId="2" fillId="31" borderId="1" xfId="0" applyNumberFormat="1" applyFont="1" applyFill="1" applyBorder="1"/>
    <xf numFmtId="187" fontId="2" fillId="32" borderId="7" xfId="0" applyNumberFormat="1" applyFont="1" applyFill="1" applyBorder="1"/>
    <xf numFmtId="0" fontId="2" fillId="32" borderId="7" xfId="0" applyFont="1" applyFill="1" applyBorder="1"/>
    <xf numFmtId="0" fontId="2" fillId="32" borderId="8" xfId="0" applyFont="1" applyFill="1" applyBorder="1"/>
    <xf numFmtId="189" fontId="2" fillId="32" borderId="8" xfId="0" applyNumberFormat="1" applyFont="1" applyFill="1" applyBorder="1"/>
    <xf numFmtId="188" fontId="2" fillId="32" borderId="8" xfId="0" applyNumberFormat="1" applyFont="1" applyFill="1" applyBorder="1"/>
    <xf numFmtId="0" fontId="1" fillId="33" borderId="7" xfId="0" applyFont="1" applyFill="1" applyBorder="1"/>
    <xf numFmtId="187" fontId="2" fillId="33" borderId="7" xfId="0" applyNumberFormat="1" applyFont="1" applyFill="1" applyBorder="1"/>
    <xf numFmtId="0" fontId="2" fillId="33" borderId="7" xfId="0" applyFont="1" applyFill="1" applyBorder="1"/>
    <xf numFmtId="0" fontId="2" fillId="33" borderId="8" xfId="0" applyFont="1" applyFill="1" applyBorder="1"/>
    <xf numFmtId="0" fontId="1" fillId="33" borderId="8" xfId="0" applyFont="1" applyFill="1" applyBorder="1" applyAlignment="1">
      <alignment horizontal="center" wrapText="1"/>
    </xf>
    <xf numFmtId="189" fontId="1" fillId="33" borderId="8" xfId="0" applyNumberFormat="1" applyFont="1" applyFill="1" applyBorder="1" applyAlignment="1">
      <alignment horizontal="right"/>
    </xf>
    <xf numFmtId="188" fontId="1" fillId="33" borderId="8" xfId="0" applyNumberFormat="1" applyFont="1" applyFill="1" applyBorder="1" applyAlignment="1">
      <alignment horizontal="right"/>
    </xf>
    <xf numFmtId="188" fontId="2" fillId="33" borderId="8" xfId="0" applyNumberFormat="1" applyFont="1" applyFill="1" applyBorder="1"/>
    <xf numFmtId="0" fontId="16" fillId="0" borderId="0" xfId="0" applyFont="1"/>
    <xf numFmtId="188" fontId="1" fillId="4" borderId="6" xfId="0" applyNumberFormat="1" applyFont="1" applyFill="1" applyBorder="1" applyAlignment="1">
      <alignment horizontal="center" vertical="center"/>
    </xf>
    <xf numFmtId="187" fontId="1" fillId="4" borderId="6" xfId="0" applyNumberFormat="1" applyFont="1" applyFill="1" applyBorder="1" applyAlignment="1">
      <alignment horizontal="center" vertical="center" wrapText="1"/>
    </xf>
    <xf numFmtId="188" fontId="1" fillId="5" borderId="6" xfId="0" applyNumberFormat="1" applyFont="1" applyFill="1" applyBorder="1" applyAlignment="1">
      <alignment horizontal="center" vertical="center" wrapText="1"/>
    </xf>
    <xf numFmtId="188" fontId="1" fillId="7" borderId="6" xfId="0" applyNumberFormat="1" applyFont="1" applyFill="1" applyBorder="1" applyAlignment="1">
      <alignment horizontal="center" vertical="center" wrapText="1"/>
    </xf>
    <xf numFmtId="188" fontId="1" fillId="6" borderId="6" xfId="0" applyNumberFormat="1" applyFont="1" applyFill="1" applyBorder="1" applyAlignment="1">
      <alignment horizontal="center" vertical="center"/>
    </xf>
    <xf numFmtId="188" fontId="1" fillId="7" borderId="28" xfId="0" applyNumberFormat="1" applyFont="1" applyFill="1" applyBorder="1" applyAlignment="1">
      <alignment horizontal="center" vertical="center" wrapText="1"/>
    </xf>
    <xf numFmtId="188" fontId="2" fillId="8" borderId="28" xfId="0" applyNumberFormat="1" applyFont="1" applyFill="1" applyBorder="1"/>
    <xf numFmtId="0" fontId="2" fillId="8" borderId="30" xfId="0" applyFont="1" applyFill="1" applyBorder="1"/>
    <xf numFmtId="188" fontId="1" fillId="8" borderId="31" xfId="0" applyNumberFormat="1" applyFont="1" applyFill="1" applyBorder="1" applyAlignment="1">
      <alignment horizontal="right"/>
    </xf>
    <xf numFmtId="188" fontId="2" fillId="8" borderId="31" xfId="0" applyNumberFormat="1" applyFont="1" applyFill="1" applyBorder="1" applyAlignment="1">
      <alignment horizontal="right"/>
    </xf>
    <xf numFmtId="0" fontId="2" fillId="8" borderId="27" xfId="0" applyFont="1" applyFill="1" applyBorder="1"/>
    <xf numFmtId="188" fontId="2" fillId="8" borderId="32" xfId="0" applyNumberFormat="1" applyFont="1" applyFill="1" applyBorder="1" applyAlignment="1">
      <alignment horizontal="right"/>
    </xf>
    <xf numFmtId="188" fontId="2" fillId="9" borderId="32" xfId="0" applyNumberFormat="1" applyFont="1" applyFill="1" applyBorder="1"/>
    <xf numFmtId="0" fontId="2" fillId="10" borderId="30" xfId="0" applyFont="1" applyFill="1" applyBorder="1"/>
    <xf numFmtId="188" fontId="1" fillId="10" borderId="31" xfId="0" applyNumberFormat="1" applyFont="1" applyFill="1" applyBorder="1" applyAlignment="1">
      <alignment horizontal="right"/>
    </xf>
    <xf numFmtId="188" fontId="2" fillId="10" borderId="31" xfId="0" applyNumberFormat="1" applyFont="1" applyFill="1" applyBorder="1" applyAlignment="1">
      <alignment horizontal="right"/>
    </xf>
    <xf numFmtId="0" fontId="2" fillId="2" borderId="30" xfId="0" applyFont="1" applyFill="1" applyBorder="1"/>
    <xf numFmtId="188" fontId="2" fillId="2" borderId="31" xfId="0" applyNumberFormat="1" applyFont="1" applyFill="1" applyBorder="1" applyAlignment="1">
      <alignment horizontal="right"/>
    </xf>
    <xf numFmtId="0" fontId="2" fillId="2" borderId="33" xfId="0" applyFont="1" applyFill="1" applyBorder="1"/>
    <xf numFmtId="188" fontId="2" fillId="2" borderId="34" xfId="0" applyNumberFormat="1" applyFont="1" applyFill="1" applyBorder="1" applyAlignment="1">
      <alignment horizontal="right"/>
    </xf>
    <xf numFmtId="0" fontId="2" fillId="2" borderId="27" xfId="0" applyFont="1" applyFill="1" applyBorder="1"/>
    <xf numFmtId="188" fontId="2" fillId="2" borderId="32" xfId="0" applyNumberFormat="1" applyFont="1" applyFill="1" applyBorder="1" applyAlignment="1">
      <alignment horizontal="right"/>
    </xf>
    <xf numFmtId="188" fontId="2" fillId="8" borderId="32" xfId="0" applyNumberFormat="1" applyFont="1" applyFill="1" applyBorder="1"/>
    <xf numFmtId="0" fontId="1" fillId="11" borderId="35" xfId="0" applyFont="1" applyFill="1" applyBorder="1"/>
    <xf numFmtId="0" fontId="2" fillId="11" borderId="0" xfId="0" applyFont="1" applyFill="1" applyBorder="1"/>
    <xf numFmtId="188" fontId="1" fillId="11" borderId="36" xfId="0" applyNumberFormat="1" applyFont="1" applyFill="1" applyBorder="1" applyAlignment="1">
      <alignment horizontal="right"/>
    </xf>
    <xf numFmtId="0" fontId="1" fillId="12" borderId="29" xfId="0" applyFont="1" applyFill="1" applyBorder="1"/>
    <xf numFmtId="188" fontId="2" fillId="12" borderId="37" xfId="0" applyNumberFormat="1" applyFont="1" applyFill="1" applyBorder="1"/>
    <xf numFmtId="0" fontId="2" fillId="13" borderId="30" xfId="0" applyFont="1" applyFill="1" applyBorder="1"/>
    <xf numFmtId="188" fontId="2" fillId="13" borderId="38" xfId="0" applyNumberFormat="1" applyFont="1" applyFill="1" applyBorder="1"/>
    <xf numFmtId="0" fontId="2" fillId="14" borderId="30" xfId="0" applyFont="1" applyFill="1" applyBorder="1"/>
    <xf numFmtId="188" fontId="1" fillId="14" borderId="31" xfId="0" applyNumberFormat="1" applyFont="1" applyFill="1" applyBorder="1" applyAlignment="1">
      <alignment horizontal="right"/>
    </xf>
    <xf numFmtId="188" fontId="2" fillId="14" borderId="31" xfId="0" applyNumberFormat="1" applyFont="1" applyFill="1" applyBorder="1" applyAlignment="1">
      <alignment horizontal="right"/>
    </xf>
    <xf numFmtId="188" fontId="2" fillId="15" borderId="37" xfId="0" applyNumberFormat="1" applyFont="1" applyFill="1" applyBorder="1"/>
    <xf numFmtId="0" fontId="2" fillId="16" borderId="30" xfId="0" applyFont="1" applyFill="1" applyBorder="1"/>
    <xf numFmtId="188" fontId="2" fillId="16" borderId="31" xfId="0" applyNumberFormat="1" applyFont="1" applyFill="1" applyBorder="1"/>
    <xf numFmtId="0" fontId="2" fillId="17" borderId="30" xfId="0" applyFont="1" applyFill="1" applyBorder="1"/>
    <xf numFmtId="188" fontId="2" fillId="17" borderId="31" xfId="0" applyNumberFormat="1" applyFont="1" applyFill="1" applyBorder="1"/>
    <xf numFmtId="0" fontId="2" fillId="18" borderId="30" xfId="0" applyFont="1" applyFill="1" applyBorder="1"/>
    <xf numFmtId="188" fontId="1" fillId="18" borderId="31" xfId="0" applyNumberFormat="1" applyFont="1" applyFill="1" applyBorder="1" applyAlignment="1">
      <alignment horizontal="right"/>
    </xf>
    <xf numFmtId="188" fontId="2" fillId="18" borderId="31" xfId="0" applyNumberFormat="1" applyFont="1" applyFill="1" applyBorder="1" applyAlignment="1">
      <alignment horizontal="right"/>
    </xf>
    <xf numFmtId="0" fontId="2" fillId="2" borderId="35" xfId="0" applyFont="1" applyFill="1" applyBorder="1"/>
    <xf numFmtId="0" fontId="2" fillId="2" borderId="0" xfId="0" applyFont="1" applyFill="1" applyBorder="1"/>
    <xf numFmtId="188" fontId="2" fillId="2" borderId="36" xfId="0" applyNumberFormat="1" applyFont="1" applyFill="1" applyBorder="1" applyAlignment="1">
      <alignment horizontal="right"/>
    </xf>
    <xf numFmtId="187" fontId="1" fillId="19" borderId="29" xfId="0" applyNumberFormat="1" applyFont="1" applyFill="1" applyBorder="1"/>
    <xf numFmtId="188" fontId="2" fillId="19" borderId="37" xfId="0" applyNumberFormat="1" applyFont="1" applyFill="1" applyBorder="1"/>
    <xf numFmtId="187" fontId="1" fillId="20" borderId="30" xfId="0" applyNumberFormat="1" applyFont="1" applyFill="1" applyBorder="1"/>
    <xf numFmtId="188" fontId="2" fillId="20" borderId="31" xfId="0" applyNumberFormat="1" applyFont="1" applyFill="1" applyBorder="1"/>
    <xf numFmtId="190" fontId="2" fillId="10" borderId="30" xfId="0" applyNumberFormat="1" applyFont="1" applyFill="1" applyBorder="1"/>
    <xf numFmtId="188" fontId="2" fillId="10" borderId="31" xfId="0" applyNumberFormat="1" applyFont="1" applyFill="1" applyBorder="1"/>
    <xf numFmtId="190" fontId="2" fillId="2" borderId="30" xfId="0" applyNumberFormat="1" applyFont="1" applyFill="1" applyBorder="1"/>
    <xf numFmtId="188" fontId="1" fillId="2" borderId="31" xfId="0" applyNumberFormat="1" applyFont="1" applyFill="1" applyBorder="1" applyAlignment="1">
      <alignment horizontal="right"/>
    </xf>
    <xf numFmtId="187" fontId="2" fillId="0" borderId="30" xfId="0" applyNumberFormat="1" applyFont="1" applyBorder="1"/>
    <xf numFmtId="188" fontId="2" fillId="0" borderId="31" xfId="0" applyNumberFormat="1" applyFont="1" applyBorder="1"/>
    <xf numFmtId="187" fontId="6" fillId="8" borderId="30" xfId="0" applyNumberFormat="1" applyFont="1" applyFill="1" applyBorder="1"/>
    <xf numFmtId="188" fontId="2" fillId="8" borderId="31" xfId="0" applyNumberFormat="1" applyFont="1" applyFill="1" applyBorder="1"/>
    <xf numFmtId="0" fontId="2" fillId="0" borderId="0" xfId="0" applyFont="1" applyBorder="1"/>
    <xf numFmtId="187" fontId="1" fillId="8" borderId="30" xfId="0" applyNumberFormat="1" applyFont="1" applyFill="1" applyBorder="1"/>
    <xf numFmtId="190" fontId="2" fillId="8" borderId="30" xfId="0" applyNumberFormat="1" applyFont="1" applyFill="1" applyBorder="1"/>
    <xf numFmtId="190" fontId="6" fillId="8" borderId="30" xfId="0" applyNumberFormat="1" applyFont="1" applyFill="1" applyBorder="1"/>
    <xf numFmtId="188" fontId="2" fillId="2" borderId="31" xfId="0" applyNumberFormat="1" applyFont="1" applyFill="1" applyBorder="1"/>
    <xf numFmtId="190" fontId="2" fillId="2" borderId="33" xfId="0" applyNumberFormat="1" applyFont="1" applyFill="1" applyBorder="1"/>
    <xf numFmtId="188" fontId="2" fillId="2" borderId="34" xfId="0" applyNumberFormat="1" applyFont="1" applyFill="1" applyBorder="1"/>
    <xf numFmtId="190" fontId="2" fillId="2" borderId="39" xfId="0" applyNumberFormat="1" applyFont="1" applyFill="1" applyBorder="1"/>
    <xf numFmtId="188" fontId="2" fillId="2" borderId="40" xfId="0" applyNumberFormat="1" applyFont="1" applyFill="1" applyBorder="1"/>
    <xf numFmtId="187" fontId="1" fillId="20" borderId="33" xfId="0" applyNumberFormat="1" applyFont="1" applyFill="1" applyBorder="1"/>
    <xf numFmtId="188" fontId="2" fillId="20" borderId="34" xfId="0" applyNumberFormat="1" applyFont="1" applyFill="1" applyBorder="1"/>
    <xf numFmtId="190" fontId="2" fillId="2" borderId="35" xfId="0" applyNumberFormat="1" applyFont="1" applyFill="1" applyBorder="1"/>
    <xf numFmtId="188" fontId="2" fillId="2" borderId="36" xfId="0" applyNumberFormat="1" applyFont="1" applyFill="1" applyBorder="1"/>
    <xf numFmtId="187" fontId="1" fillId="7" borderId="29" xfId="0" applyNumberFormat="1" applyFont="1" applyFill="1" applyBorder="1"/>
    <xf numFmtId="188" fontId="2" fillId="7" borderId="37" xfId="0" applyNumberFormat="1" applyFont="1" applyFill="1" applyBorder="1"/>
    <xf numFmtId="187" fontId="1" fillId="22" borderId="30" xfId="0" applyNumberFormat="1" applyFont="1" applyFill="1" applyBorder="1"/>
    <xf numFmtId="188" fontId="2" fillId="22" borderId="31" xfId="0" applyNumberFormat="1" applyFont="1" applyFill="1" applyBorder="1"/>
    <xf numFmtId="187" fontId="2" fillId="21" borderId="30" xfId="0" applyNumberFormat="1" applyFont="1" applyFill="1" applyBorder="1"/>
    <xf numFmtId="188" fontId="2" fillId="21" borderId="31" xfId="0" applyNumberFormat="1" applyFont="1" applyFill="1" applyBorder="1"/>
    <xf numFmtId="187" fontId="2" fillId="2" borderId="30" xfId="0" applyNumberFormat="1" applyFont="1" applyFill="1" applyBorder="1"/>
    <xf numFmtId="187" fontId="2" fillId="23" borderId="30" xfId="0" applyNumberFormat="1" applyFont="1" applyFill="1" applyBorder="1"/>
    <xf numFmtId="188" fontId="2" fillId="23" borderId="31" xfId="0" applyNumberFormat="1" applyFont="1" applyFill="1" applyBorder="1"/>
    <xf numFmtId="187" fontId="2" fillId="24" borderId="30" xfId="0" applyNumberFormat="1" applyFont="1" applyFill="1" applyBorder="1"/>
    <xf numFmtId="188" fontId="2" fillId="24" borderId="31" xfId="0" applyNumberFormat="1" applyFont="1" applyFill="1" applyBorder="1"/>
    <xf numFmtId="187" fontId="6" fillId="24" borderId="30" xfId="0" applyNumberFormat="1" applyFont="1" applyFill="1" applyBorder="1"/>
    <xf numFmtId="190" fontId="6" fillId="24" borderId="30" xfId="0" applyNumberFormat="1" applyFont="1" applyFill="1" applyBorder="1"/>
    <xf numFmtId="188" fontId="1" fillId="24" borderId="31" xfId="0" applyNumberFormat="1" applyFont="1" applyFill="1" applyBorder="1" applyAlignment="1">
      <alignment horizontal="right"/>
    </xf>
    <xf numFmtId="187" fontId="2" fillId="8" borderId="30" xfId="0" applyNumberFormat="1" applyFont="1" applyFill="1" applyBorder="1"/>
    <xf numFmtId="187" fontId="2" fillId="0" borderId="35" xfId="0" applyNumberFormat="1" applyFont="1" applyBorder="1"/>
    <xf numFmtId="187" fontId="2" fillId="0" borderId="0" xfId="0" applyNumberFormat="1" applyFont="1" applyBorder="1"/>
    <xf numFmtId="0" fontId="2" fillId="0" borderId="0" xfId="0" quotePrefix="1" applyFont="1" applyBorder="1"/>
    <xf numFmtId="188" fontId="2" fillId="0" borderId="36" xfId="0" applyNumberFormat="1" applyFont="1" applyBorder="1"/>
    <xf numFmtId="187" fontId="11" fillId="25" borderId="29" xfId="0" applyNumberFormat="1" applyFont="1" applyFill="1" applyBorder="1"/>
    <xf numFmtId="188" fontId="2" fillId="25" borderId="37" xfId="0" applyNumberFormat="1" applyFont="1" applyFill="1" applyBorder="1"/>
    <xf numFmtId="187" fontId="1" fillId="26" borderId="30" xfId="0" applyNumberFormat="1" applyFont="1" applyFill="1" applyBorder="1"/>
    <xf numFmtId="188" fontId="2" fillId="26" borderId="31" xfId="0" applyNumberFormat="1" applyFont="1" applyFill="1" applyBorder="1"/>
    <xf numFmtId="190" fontId="2" fillId="27" borderId="30" xfId="0" applyNumberFormat="1" applyFont="1" applyFill="1" applyBorder="1"/>
    <xf numFmtId="188" fontId="2" fillId="27" borderId="31" xfId="0" applyNumberFormat="1" applyFont="1" applyFill="1" applyBorder="1"/>
    <xf numFmtId="187" fontId="2" fillId="8" borderId="35" xfId="0" applyNumberFormat="1" applyFont="1" applyFill="1" applyBorder="1"/>
    <xf numFmtId="187" fontId="2" fillId="8" borderId="0" xfId="0" applyNumberFormat="1" applyFont="1" applyFill="1" applyBorder="1"/>
    <xf numFmtId="0" fontId="2" fillId="8" borderId="0" xfId="0" applyFont="1" applyFill="1" applyBorder="1"/>
    <xf numFmtId="188" fontId="2" fillId="8" borderId="36" xfId="0" applyNumberFormat="1" applyFont="1" applyFill="1" applyBorder="1"/>
    <xf numFmtId="187" fontId="1" fillId="28" borderId="29" xfId="0" applyNumberFormat="1" applyFont="1" applyFill="1" applyBorder="1"/>
    <xf numFmtId="188" fontId="2" fillId="28" borderId="37" xfId="0" applyNumberFormat="1" applyFont="1" applyFill="1" applyBorder="1"/>
    <xf numFmtId="187" fontId="1" fillId="29" borderId="30" xfId="0" applyNumberFormat="1" applyFont="1" applyFill="1" applyBorder="1"/>
    <xf numFmtId="188" fontId="2" fillId="29" borderId="31" xfId="0" applyNumberFormat="1" applyFont="1" applyFill="1" applyBorder="1"/>
    <xf numFmtId="187" fontId="2" fillId="30" borderId="30" xfId="0" applyNumberFormat="1" applyFont="1" applyFill="1" applyBorder="1"/>
    <xf numFmtId="188" fontId="2" fillId="30" borderId="31" xfId="0" applyNumberFormat="1" applyFont="1" applyFill="1" applyBorder="1"/>
    <xf numFmtId="190" fontId="2" fillId="30" borderId="30" xfId="0" applyNumberFormat="1" applyFont="1" applyFill="1" applyBorder="1"/>
    <xf numFmtId="187" fontId="9" fillId="23" borderId="33" xfId="0" applyNumberFormat="1" applyFont="1" applyFill="1" applyBorder="1"/>
    <xf numFmtId="188" fontId="2" fillId="23" borderId="34" xfId="0" applyNumberFormat="1" applyFont="1" applyFill="1" applyBorder="1"/>
    <xf numFmtId="187" fontId="9" fillId="2" borderId="30" xfId="0" applyNumberFormat="1" applyFont="1" applyFill="1" applyBorder="1"/>
    <xf numFmtId="187" fontId="9" fillId="23" borderId="30" xfId="0" applyNumberFormat="1" applyFont="1" applyFill="1" applyBorder="1"/>
    <xf numFmtId="187" fontId="16" fillId="2" borderId="41" xfId="0" applyNumberFormat="1" applyFont="1" applyFill="1" applyBorder="1"/>
    <xf numFmtId="188" fontId="2" fillId="2" borderId="42" xfId="0" applyNumberFormat="1" applyFont="1" applyFill="1" applyBorder="1"/>
    <xf numFmtId="187" fontId="1" fillId="31" borderId="29" xfId="0" applyNumberFormat="1" applyFont="1" applyFill="1" applyBorder="1"/>
    <xf numFmtId="188" fontId="2" fillId="31" borderId="37" xfId="0" applyNumberFormat="1" applyFont="1" applyFill="1" applyBorder="1"/>
    <xf numFmtId="187" fontId="1" fillId="32" borderId="30" xfId="0" applyNumberFormat="1" applyFont="1" applyFill="1" applyBorder="1"/>
    <xf numFmtId="188" fontId="2" fillId="32" borderId="31" xfId="0" applyNumberFormat="1" applyFont="1" applyFill="1" applyBorder="1"/>
    <xf numFmtId="187" fontId="2" fillId="33" borderId="30" xfId="0" applyNumberFormat="1" applyFont="1" applyFill="1" applyBorder="1"/>
    <xf numFmtId="188" fontId="2" fillId="33" borderId="31" xfId="0" applyNumberFormat="1" applyFont="1" applyFill="1" applyBorder="1"/>
    <xf numFmtId="187" fontId="2" fillId="2" borderId="43" xfId="0" applyNumberFormat="1" applyFont="1" applyFill="1" applyBorder="1"/>
    <xf numFmtId="0" fontId="2" fillId="2" borderId="44" xfId="0" applyFont="1" applyFill="1" applyBorder="1"/>
    <xf numFmtId="187" fontId="2" fillId="2" borderId="44" xfId="0" applyNumberFormat="1" applyFont="1" applyFill="1" applyBorder="1"/>
    <xf numFmtId="0" fontId="2" fillId="0" borderId="44" xfId="0" applyFont="1" applyBorder="1"/>
    <xf numFmtId="187" fontId="2" fillId="0" borderId="44" xfId="0" applyNumberFormat="1" applyFont="1" applyBorder="1"/>
    <xf numFmtId="0" fontId="2" fillId="2" borderId="45" xfId="0" applyFont="1" applyFill="1" applyBorder="1"/>
    <xf numFmtId="0" fontId="2" fillId="2" borderId="45" xfId="0" applyFont="1" applyFill="1" applyBorder="1" applyAlignment="1">
      <alignment horizontal="center" wrapText="1"/>
    </xf>
    <xf numFmtId="189" fontId="2" fillId="2" borderId="45" xfId="0" applyNumberFormat="1" applyFont="1" applyFill="1" applyBorder="1" applyAlignment="1">
      <alignment horizontal="right"/>
    </xf>
    <xf numFmtId="188" fontId="2" fillId="2" borderId="45" xfId="0" applyNumberFormat="1" applyFont="1" applyFill="1" applyBorder="1" applyAlignment="1">
      <alignment horizontal="right"/>
    </xf>
    <xf numFmtId="188" fontId="2" fillId="2" borderId="45" xfId="0" applyNumberFormat="1" applyFont="1" applyFill="1" applyBorder="1"/>
    <xf numFmtId="188" fontId="2" fillId="2" borderId="46" xfId="0" applyNumberFormat="1" applyFont="1" applyFill="1" applyBorder="1"/>
    <xf numFmtId="0" fontId="1" fillId="2" borderId="7" xfId="0" applyFont="1" applyFill="1" applyBorder="1" applyAlignment="1">
      <alignment horizontal="center"/>
    </xf>
    <xf numFmtId="0" fontId="1" fillId="18" borderId="7" xfId="0" applyFont="1" applyFill="1" applyBorder="1" applyAlignment="1">
      <alignment horizontal="center"/>
    </xf>
    <xf numFmtId="0" fontId="1" fillId="14" borderId="7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8" borderId="29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1" fillId="9" borderId="27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1" fillId="8" borderId="27" xfId="0" applyFont="1" applyFill="1" applyBorder="1"/>
    <xf numFmtId="0" fontId="1" fillId="15" borderId="29" xfId="0" applyFont="1" applyFill="1" applyBorder="1"/>
    <xf numFmtId="0" fontId="1" fillId="16" borderId="7" xfId="0" applyFont="1" applyFill="1" applyBorder="1"/>
    <xf numFmtId="0" fontId="3" fillId="0" borderId="7" xfId="0" applyFont="1" applyBorder="1"/>
    <xf numFmtId="0" fontId="3" fillId="0" borderId="8" xfId="0" applyFont="1" applyBorder="1"/>
    <xf numFmtId="188" fontId="1" fillId="5" borderId="23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188" fontId="1" fillId="6" borderId="23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4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545"/>
  <sheetViews>
    <sheetView tabSelected="1" view="pageBreakPreview" zoomScale="60" zoomScaleNormal="100" workbookViewId="0">
      <pane xSplit="8" ySplit="6" topLeftCell="I17" activePane="bottomRight" state="frozen"/>
      <selection pane="topRight" activeCell="I1" sqref="I1"/>
      <selection pane="bottomLeft" activeCell="A7" sqref="A7"/>
      <selection pane="bottomRight" activeCell="V25" sqref="V25"/>
    </sheetView>
  </sheetViews>
  <sheetFormatPr defaultColWidth="12.5703125" defaultRowHeight="15.75" customHeight="1"/>
  <cols>
    <col min="1" max="6" width="3.28515625" style="1" customWidth="1"/>
    <col min="7" max="7" width="52.7109375" style="1" customWidth="1"/>
    <col min="8" max="8" width="9.42578125" style="1" customWidth="1"/>
    <col min="9" max="9" width="17.140625" style="1" bestFit="1" customWidth="1"/>
    <col min="10" max="10" width="14.5703125" style="1" bestFit="1" customWidth="1"/>
    <col min="11" max="11" width="12.7109375" style="1" bestFit="1" customWidth="1"/>
    <col min="12" max="14" width="25.140625" style="1" bestFit="1" customWidth="1"/>
    <col min="15" max="15" width="12.7109375" style="1" bestFit="1" customWidth="1"/>
    <col min="16" max="16" width="12.28515625" style="1" bestFit="1" customWidth="1"/>
    <col min="17" max="16384" width="12.5703125" style="1"/>
  </cols>
  <sheetData>
    <row r="1" spans="1:16" ht="2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</row>
    <row r="2" spans="1:16" ht="2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</row>
    <row r="3" spans="1:16" ht="20.25">
      <c r="A3" s="502" t="str">
        <f ca="1">IFERROR(__xludf.DUMMYFUNCTION("IMPORTRANGE(""https://docs.google.com/spreadsheets/d/1gNPQPjxUj63ZZXIIIm2aX4x3w7PhAZpC9JuXdbpWwUQ/edit?usp=sharing"",""Sheet1!b1"")"),"ข้อมูล ณ 28 ธ.ค. 66")</f>
        <v>ข้อมูล ณ 28 ธ.ค. 66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</row>
    <row r="4" spans="1:16" ht="20.25" hidden="1">
      <c r="A4" s="2"/>
      <c r="B4" s="2"/>
      <c r="C4" s="2"/>
      <c r="D4" s="2"/>
      <c r="E4" s="2"/>
      <c r="F4" s="2"/>
      <c r="G4" s="2"/>
      <c r="H4" s="2"/>
      <c r="I4" s="2"/>
      <c r="J4" s="3"/>
      <c r="K4" s="4"/>
      <c r="L4" s="3"/>
      <c r="M4" s="3"/>
      <c r="N4" s="3"/>
      <c r="O4" s="2"/>
      <c r="P4" s="2"/>
    </row>
    <row r="5" spans="1:16" ht="20.25">
      <c r="A5" s="503" t="s">
        <v>2</v>
      </c>
      <c r="B5" s="504"/>
      <c r="C5" s="504"/>
      <c r="D5" s="504"/>
      <c r="E5" s="504"/>
      <c r="F5" s="504"/>
      <c r="G5" s="505"/>
      <c r="H5" s="500" t="s">
        <v>3</v>
      </c>
      <c r="I5" s="509" t="s">
        <v>4</v>
      </c>
      <c r="J5" s="498"/>
      <c r="K5" s="496"/>
      <c r="L5" s="495" t="s">
        <v>5</v>
      </c>
      <c r="M5" s="496"/>
      <c r="N5" s="497" t="s">
        <v>6</v>
      </c>
      <c r="O5" s="498"/>
      <c r="P5" s="499"/>
    </row>
    <row r="6" spans="1:16" ht="50.1" customHeight="1">
      <c r="A6" s="506"/>
      <c r="B6" s="507"/>
      <c r="C6" s="507"/>
      <c r="D6" s="507"/>
      <c r="E6" s="507"/>
      <c r="F6" s="507"/>
      <c r="G6" s="508"/>
      <c r="H6" s="501"/>
      <c r="I6" s="352" t="s">
        <v>7</v>
      </c>
      <c r="J6" s="353" t="s">
        <v>8</v>
      </c>
      <c r="K6" s="352" t="s">
        <v>9</v>
      </c>
      <c r="L6" s="354" t="s">
        <v>10</v>
      </c>
      <c r="M6" s="355" t="s">
        <v>11</v>
      </c>
      <c r="N6" s="356" t="s">
        <v>12</v>
      </c>
      <c r="O6" s="354" t="s">
        <v>150</v>
      </c>
      <c r="P6" s="357" t="s">
        <v>151</v>
      </c>
    </row>
    <row r="7" spans="1:16" ht="20.25" hidden="1">
      <c r="A7" s="484"/>
      <c r="B7" s="485"/>
      <c r="C7" s="485"/>
      <c r="D7" s="485"/>
      <c r="E7" s="485"/>
      <c r="F7" s="485"/>
      <c r="G7" s="486"/>
      <c r="H7" s="5"/>
      <c r="I7" s="6"/>
      <c r="J7" s="6"/>
      <c r="K7" s="7"/>
      <c r="L7" s="7"/>
      <c r="M7" s="7"/>
      <c r="N7" s="7"/>
      <c r="O7" s="7"/>
      <c r="P7" s="358"/>
    </row>
    <row r="8" spans="1:16" ht="20.25" hidden="1">
      <c r="A8" s="359"/>
      <c r="B8" s="8"/>
      <c r="C8" s="9"/>
      <c r="D8" s="10"/>
      <c r="E8" s="8"/>
      <c r="F8" s="8"/>
      <c r="G8" s="11"/>
      <c r="H8" s="12"/>
      <c r="I8" s="13"/>
      <c r="J8" s="13"/>
      <c r="K8" s="14"/>
      <c r="L8" s="15"/>
      <c r="M8" s="15"/>
      <c r="N8" s="15"/>
      <c r="O8" s="15"/>
      <c r="P8" s="360"/>
    </row>
    <row r="9" spans="1:16" ht="20.25" hidden="1">
      <c r="A9" s="359"/>
      <c r="B9" s="8"/>
      <c r="C9" s="8"/>
      <c r="D9" s="8"/>
      <c r="E9" s="8"/>
      <c r="F9" s="8"/>
      <c r="G9" s="11"/>
      <c r="H9" s="16"/>
      <c r="I9" s="13"/>
      <c r="J9" s="13"/>
      <c r="K9" s="14"/>
      <c r="L9" s="17"/>
      <c r="M9" s="17"/>
      <c r="N9" s="17"/>
      <c r="O9" s="17"/>
      <c r="P9" s="361"/>
    </row>
    <row r="10" spans="1:16" ht="20.25" hidden="1">
      <c r="A10" s="359"/>
      <c r="B10" s="8"/>
      <c r="C10" s="8"/>
      <c r="D10" s="8"/>
      <c r="E10" s="8"/>
      <c r="F10" s="8"/>
      <c r="G10" s="11"/>
      <c r="H10" s="16"/>
      <c r="I10" s="13"/>
      <c r="J10" s="13"/>
      <c r="K10" s="14"/>
      <c r="L10" s="17"/>
      <c r="M10" s="17"/>
      <c r="N10" s="17"/>
      <c r="O10" s="17"/>
      <c r="P10" s="361"/>
    </row>
    <row r="11" spans="1:16" ht="20.25" hidden="1">
      <c r="A11" s="359"/>
      <c r="B11" s="8"/>
      <c r="C11" s="8"/>
      <c r="D11" s="18"/>
      <c r="E11" s="8"/>
      <c r="F11" s="8"/>
      <c r="G11" s="11"/>
      <c r="H11" s="16"/>
      <c r="I11" s="13"/>
      <c r="J11" s="13"/>
      <c r="K11" s="14"/>
      <c r="L11" s="17"/>
      <c r="M11" s="17"/>
      <c r="N11" s="17"/>
      <c r="O11" s="17"/>
      <c r="P11" s="361"/>
    </row>
    <row r="12" spans="1:16" ht="20.25" hidden="1">
      <c r="A12" s="359"/>
      <c r="B12" s="8"/>
      <c r="C12" s="8"/>
      <c r="D12" s="8"/>
      <c r="E12" s="8"/>
      <c r="F12" s="8"/>
      <c r="G12" s="11"/>
      <c r="H12" s="16"/>
      <c r="I12" s="13"/>
      <c r="J12" s="13"/>
      <c r="K12" s="14"/>
      <c r="L12" s="17"/>
      <c r="M12" s="17"/>
      <c r="N12" s="17"/>
      <c r="O12" s="17"/>
      <c r="P12" s="361"/>
    </row>
    <row r="13" spans="1:16" ht="20.25" hidden="1">
      <c r="A13" s="359"/>
      <c r="B13" s="8"/>
      <c r="C13" s="8"/>
      <c r="D13" s="8"/>
      <c r="E13" s="8"/>
      <c r="F13" s="8"/>
      <c r="G13" s="11"/>
      <c r="H13" s="16"/>
      <c r="I13" s="13"/>
      <c r="J13" s="13"/>
      <c r="K13" s="14"/>
      <c r="L13" s="17"/>
      <c r="M13" s="17"/>
      <c r="N13" s="17"/>
      <c r="O13" s="17"/>
      <c r="P13" s="361"/>
    </row>
    <row r="14" spans="1:16" ht="20.25" hidden="1">
      <c r="A14" s="359"/>
      <c r="B14" s="8"/>
      <c r="C14" s="8"/>
      <c r="D14" s="18"/>
      <c r="E14" s="8"/>
      <c r="F14" s="8"/>
      <c r="G14" s="11"/>
      <c r="H14" s="16"/>
      <c r="I14" s="13"/>
      <c r="J14" s="13"/>
      <c r="K14" s="14"/>
      <c r="L14" s="17"/>
      <c r="M14" s="17"/>
      <c r="N14" s="17"/>
      <c r="O14" s="17"/>
      <c r="P14" s="361"/>
    </row>
    <row r="15" spans="1:16" ht="20.25" hidden="1">
      <c r="A15" s="359"/>
      <c r="B15" s="8"/>
      <c r="C15" s="8"/>
      <c r="D15" s="8"/>
      <c r="E15" s="8"/>
      <c r="F15" s="8"/>
      <c r="G15" s="11"/>
      <c r="H15" s="16"/>
      <c r="I15" s="13"/>
      <c r="J15" s="13"/>
      <c r="K15" s="14"/>
      <c r="L15" s="17"/>
      <c r="M15" s="17"/>
      <c r="N15" s="17"/>
      <c r="O15" s="17"/>
      <c r="P15" s="361"/>
    </row>
    <row r="16" spans="1:16" ht="20.25" hidden="1">
      <c r="A16" s="362"/>
      <c r="B16" s="19"/>
      <c r="C16" s="19"/>
      <c r="D16" s="19"/>
      <c r="E16" s="19"/>
      <c r="F16" s="19"/>
      <c r="G16" s="20"/>
      <c r="H16" s="21"/>
      <c r="I16" s="22"/>
      <c r="J16" s="22"/>
      <c r="K16" s="23"/>
      <c r="L16" s="24"/>
      <c r="M16" s="24"/>
      <c r="N16" s="24"/>
      <c r="O16" s="24"/>
      <c r="P16" s="363"/>
    </row>
    <row r="17" spans="1:16" ht="20.25">
      <c r="A17" s="487" t="s">
        <v>13</v>
      </c>
      <c r="B17" s="488"/>
      <c r="C17" s="488"/>
      <c r="D17" s="488"/>
      <c r="E17" s="488"/>
      <c r="F17" s="488"/>
      <c r="G17" s="489"/>
      <c r="H17" s="25"/>
      <c r="I17" s="26"/>
      <c r="J17" s="26"/>
      <c r="K17" s="27"/>
      <c r="L17" s="27"/>
      <c r="M17" s="27"/>
      <c r="N17" s="27"/>
      <c r="O17" s="27"/>
      <c r="P17" s="364"/>
    </row>
    <row r="18" spans="1:16" ht="20.25">
      <c r="A18" s="365"/>
      <c r="B18" s="28"/>
      <c r="C18" s="483" t="s">
        <v>14</v>
      </c>
      <c r="D18" s="30" t="s">
        <v>15</v>
      </c>
      <c r="E18" s="28"/>
      <c r="F18" s="28"/>
      <c r="G18" s="31"/>
      <c r="H18" s="32" t="s">
        <v>12</v>
      </c>
      <c r="I18" s="33"/>
      <c r="J18" s="33"/>
      <c r="K18" s="34"/>
      <c r="L18" s="35">
        <f t="shared" ref="L18:N18" ca="1" si="0">L19+L20</f>
        <v>767079800</v>
      </c>
      <c r="M18" s="35">
        <f t="shared" ca="1" si="0"/>
        <v>709950300</v>
      </c>
      <c r="N18" s="35">
        <f t="shared" ca="1" si="0"/>
        <v>287570863.29999989</v>
      </c>
      <c r="O18" s="35">
        <f t="shared" ref="O18:O29" ca="1" si="1">IF(L18&gt;0,N18*100/L18,0)</f>
        <v>37.489041335725418</v>
      </c>
      <c r="P18" s="366">
        <f t="shared" ref="P18:P29" ca="1" si="2">IF(M18&gt;0,N18*100/M18,0)</f>
        <v>40.505773897130531</v>
      </c>
    </row>
    <row r="19" spans="1:16" ht="20.25">
      <c r="A19" s="365"/>
      <c r="B19" s="28"/>
      <c r="C19" s="28"/>
      <c r="D19" s="28"/>
      <c r="E19" s="28" t="s">
        <v>16</v>
      </c>
      <c r="F19" s="28"/>
      <c r="G19" s="31"/>
      <c r="H19" s="36" t="s">
        <v>12</v>
      </c>
      <c r="I19" s="33"/>
      <c r="J19" s="33"/>
      <c r="K19" s="34"/>
      <c r="L19" s="37">
        <f t="shared" ref="L19:N19" ca="1" si="3">L22+L25+L28</f>
        <v>624708228</v>
      </c>
      <c r="M19" s="37">
        <f t="shared" ca="1" si="3"/>
        <v>561608445.51999998</v>
      </c>
      <c r="N19" s="37">
        <f t="shared" ca="1" si="3"/>
        <v>226840702.13</v>
      </c>
      <c r="O19" s="37">
        <f t="shared" ca="1" si="1"/>
        <v>36.311463810270162</v>
      </c>
      <c r="P19" s="367">
        <f t="shared" ca="1" si="2"/>
        <v>40.391255498297483</v>
      </c>
    </row>
    <row r="20" spans="1:16" ht="20.25">
      <c r="A20" s="365"/>
      <c r="B20" s="28"/>
      <c r="C20" s="28"/>
      <c r="D20" s="28"/>
      <c r="E20" s="28" t="s">
        <v>17</v>
      </c>
      <c r="F20" s="28"/>
      <c r="G20" s="31"/>
      <c r="H20" s="36" t="s">
        <v>12</v>
      </c>
      <c r="I20" s="33"/>
      <c r="J20" s="33"/>
      <c r="K20" s="34"/>
      <c r="L20" s="37">
        <f t="shared" ref="L20:N20" ca="1" si="4">L23+L26+L29</f>
        <v>142371572</v>
      </c>
      <c r="M20" s="37">
        <f t="shared" ca="1" si="4"/>
        <v>148341854.47999999</v>
      </c>
      <c r="N20" s="37">
        <f t="shared" ca="1" si="4"/>
        <v>60730161.169999883</v>
      </c>
      <c r="O20" s="37">
        <f t="shared" ca="1" si="1"/>
        <v>42.656100734773013</v>
      </c>
      <c r="P20" s="367">
        <f t="shared" ca="1" si="2"/>
        <v>40.93932988965549</v>
      </c>
    </row>
    <row r="21" spans="1:16" ht="20.25">
      <c r="A21" s="368"/>
      <c r="B21" s="38"/>
      <c r="C21" s="38"/>
      <c r="D21" s="39" t="s">
        <v>18</v>
      </c>
      <c r="E21" s="38"/>
      <c r="F21" s="38"/>
      <c r="G21" s="40"/>
      <c r="H21" s="41" t="s">
        <v>12</v>
      </c>
      <c r="I21" s="42"/>
      <c r="J21" s="42"/>
      <c r="K21" s="43"/>
      <c r="L21" s="44">
        <f t="shared" ref="L21:N21" ca="1" si="5">L22+L23</f>
        <v>252219000</v>
      </c>
      <c r="M21" s="44">
        <f t="shared" ca="1" si="5"/>
        <v>207534900</v>
      </c>
      <c r="N21" s="44">
        <f t="shared" ca="1" si="5"/>
        <v>88026700.909999892</v>
      </c>
      <c r="O21" s="44">
        <f t="shared" ca="1" si="1"/>
        <v>34.900899975814625</v>
      </c>
      <c r="P21" s="369">
        <f t="shared" ca="1" si="2"/>
        <v>42.415372503612588</v>
      </c>
    </row>
    <row r="22" spans="1:16" ht="20.25">
      <c r="A22" s="368"/>
      <c r="B22" s="38"/>
      <c r="C22" s="38"/>
      <c r="D22" s="38"/>
      <c r="E22" s="38" t="s">
        <v>16</v>
      </c>
      <c r="F22" s="38"/>
      <c r="G22" s="40"/>
      <c r="H22" s="41" t="s">
        <v>12</v>
      </c>
      <c r="I22" s="42"/>
      <c r="J22" s="42"/>
      <c r="K22" s="43"/>
      <c r="L22" s="44">
        <f t="shared" ref="L22:N22" ca="1" si="6">L48+L63+L76+L98+L129+L143+L161+L190+L177+L270+L286+L307+L324+L337+L360+L381</f>
        <v>109847428</v>
      </c>
      <c r="M22" s="44">
        <f t="shared" ca="1" si="6"/>
        <v>86780638</v>
      </c>
      <c r="N22" s="44">
        <f t="shared" ca="1" si="6"/>
        <v>41001231.220000006</v>
      </c>
      <c r="O22" s="44">
        <f t="shared" ca="1" si="1"/>
        <v>37.325617874275586</v>
      </c>
      <c r="P22" s="369">
        <f t="shared" ca="1" si="2"/>
        <v>47.246980622566987</v>
      </c>
    </row>
    <row r="23" spans="1:16" ht="20.25">
      <c r="A23" s="368"/>
      <c r="B23" s="38"/>
      <c r="C23" s="38"/>
      <c r="D23" s="38"/>
      <c r="E23" s="38" t="s">
        <v>17</v>
      </c>
      <c r="F23" s="38"/>
      <c r="G23" s="40"/>
      <c r="H23" s="41" t="s">
        <v>12</v>
      </c>
      <c r="I23" s="42"/>
      <c r="J23" s="42"/>
      <c r="K23" s="43"/>
      <c r="L23" s="44">
        <f t="shared" ref="L23:N23" ca="1" si="7">L49+L64+L77+L99+L130+L144+L162+L191+L178+L271+L287+L308+L325+L338+L361+L382</f>
        <v>142371572</v>
      </c>
      <c r="M23" s="44">
        <f t="shared" ca="1" si="7"/>
        <v>120754262</v>
      </c>
      <c r="N23" s="44">
        <f t="shared" ca="1" si="7"/>
        <v>47025469.689999886</v>
      </c>
      <c r="O23" s="44">
        <f t="shared" ca="1" si="1"/>
        <v>33.03009795382458</v>
      </c>
      <c r="P23" s="369">
        <f t="shared" ca="1" si="2"/>
        <v>38.943113817382184</v>
      </c>
    </row>
    <row r="24" spans="1:16" ht="20.25">
      <c r="A24" s="368"/>
      <c r="B24" s="38"/>
      <c r="C24" s="38"/>
      <c r="D24" s="39" t="s">
        <v>19</v>
      </c>
      <c r="E24" s="38"/>
      <c r="F24" s="38"/>
      <c r="G24" s="40"/>
      <c r="H24" s="41" t="s">
        <v>12</v>
      </c>
      <c r="I24" s="42"/>
      <c r="J24" s="42"/>
      <c r="K24" s="43"/>
      <c r="L24" s="44">
        <f t="shared" ref="L24:N24" ca="1" si="8">L25+L26</f>
        <v>12445400</v>
      </c>
      <c r="M24" s="44">
        <f t="shared" ca="1" si="8"/>
        <v>0</v>
      </c>
      <c r="N24" s="44">
        <f t="shared" ca="1" si="8"/>
        <v>0</v>
      </c>
      <c r="O24" s="44">
        <f t="shared" ca="1" si="1"/>
        <v>0</v>
      </c>
      <c r="P24" s="369">
        <f t="shared" ca="1" si="2"/>
        <v>0</v>
      </c>
    </row>
    <row r="25" spans="1:16" ht="20.25">
      <c r="A25" s="368"/>
      <c r="B25" s="38"/>
      <c r="C25" s="38"/>
      <c r="D25" s="38"/>
      <c r="E25" s="38" t="s">
        <v>16</v>
      </c>
      <c r="F25" s="38"/>
      <c r="G25" s="40"/>
      <c r="H25" s="41" t="s">
        <v>12</v>
      </c>
      <c r="I25" s="42"/>
      <c r="J25" s="42"/>
      <c r="K25" s="43"/>
      <c r="L25" s="44">
        <f t="shared" ref="L25:N25" ca="1" si="9">L51+L66+L79+L101+L132+L146+L164+L193+L180+L273+L289+L310+L327+L340+L363+L384</f>
        <v>12445400</v>
      </c>
      <c r="M25" s="44">
        <f t="shared" ca="1" si="9"/>
        <v>0</v>
      </c>
      <c r="N25" s="44">
        <f t="shared" ca="1" si="9"/>
        <v>0</v>
      </c>
      <c r="O25" s="44">
        <f t="shared" ca="1" si="1"/>
        <v>0</v>
      </c>
      <c r="P25" s="369">
        <f t="shared" ca="1" si="2"/>
        <v>0</v>
      </c>
    </row>
    <row r="26" spans="1:16" ht="20.25">
      <c r="A26" s="368"/>
      <c r="B26" s="38"/>
      <c r="C26" s="38"/>
      <c r="D26" s="38"/>
      <c r="E26" s="38" t="s">
        <v>17</v>
      </c>
      <c r="F26" s="38"/>
      <c r="G26" s="40"/>
      <c r="H26" s="41" t="s">
        <v>12</v>
      </c>
      <c r="I26" s="42"/>
      <c r="J26" s="42"/>
      <c r="K26" s="43"/>
      <c r="L26" s="44">
        <f t="shared" ref="L26:N26" ca="1" si="10">L52+L67+L80+L102+L133+L147+L165+L194+L181+L274+L290+L311+L328+L341+L364+L385</f>
        <v>0</v>
      </c>
      <c r="M26" s="44">
        <f t="shared" ca="1" si="10"/>
        <v>0</v>
      </c>
      <c r="N26" s="44">
        <f t="shared" ca="1" si="10"/>
        <v>0</v>
      </c>
      <c r="O26" s="44">
        <f t="shared" ca="1" si="1"/>
        <v>0</v>
      </c>
      <c r="P26" s="369">
        <f t="shared" ca="1" si="2"/>
        <v>0</v>
      </c>
    </row>
    <row r="27" spans="1:16" ht="20.25">
      <c r="A27" s="370"/>
      <c r="B27" s="45"/>
      <c r="C27" s="45"/>
      <c r="D27" s="46" t="s">
        <v>20</v>
      </c>
      <c r="E27" s="45"/>
      <c r="F27" s="45"/>
      <c r="G27" s="47"/>
      <c r="H27" s="48" t="s">
        <v>12</v>
      </c>
      <c r="I27" s="49"/>
      <c r="J27" s="49"/>
      <c r="K27" s="50"/>
      <c r="L27" s="51">
        <f t="shared" ref="L27:N27" ca="1" si="11">L28+L29</f>
        <v>502415400</v>
      </c>
      <c r="M27" s="51">
        <f t="shared" ca="1" si="11"/>
        <v>502415400</v>
      </c>
      <c r="N27" s="51">
        <f t="shared" ca="1" si="11"/>
        <v>199544162.38999999</v>
      </c>
      <c r="O27" s="51">
        <f t="shared" ca="1" si="1"/>
        <v>39.716967750192367</v>
      </c>
      <c r="P27" s="371">
        <f t="shared" ca="1" si="2"/>
        <v>39.716967750192367</v>
      </c>
    </row>
    <row r="28" spans="1:16" ht="20.25">
      <c r="A28" s="368"/>
      <c r="B28" s="38"/>
      <c r="C28" s="38"/>
      <c r="D28" s="38"/>
      <c r="E28" s="38" t="s">
        <v>16</v>
      </c>
      <c r="F28" s="38"/>
      <c r="G28" s="40"/>
      <c r="H28" s="41" t="s">
        <v>12</v>
      </c>
      <c r="I28" s="42"/>
      <c r="J28" s="42"/>
      <c r="K28" s="43"/>
      <c r="L28" s="44">
        <f t="shared" ref="L28:N28" ca="1" si="12">L54</f>
        <v>502415400</v>
      </c>
      <c r="M28" s="44">
        <f t="shared" ca="1" si="12"/>
        <v>474827807.51999998</v>
      </c>
      <c r="N28" s="44">
        <f t="shared" ca="1" si="12"/>
        <v>185839470.91</v>
      </c>
      <c r="O28" s="44">
        <f t="shared" ca="1" si="1"/>
        <v>36.989206722166557</v>
      </c>
      <c r="P28" s="369">
        <f t="shared" ca="1" si="2"/>
        <v>39.138287178383578</v>
      </c>
    </row>
    <row r="29" spans="1:16" ht="20.25">
      <c r="A29" s="372"/>
      <c r="B29" s="52"/>
      <c r="C29" s="52"/>
      <c r="D29" s="52"/>
      <c r="E29" s="52" t="s">
        <v>17</v>
      </c>
      <c r="F29" s="52"/>
      <c r="G29" s="53"/>
      <c r="H29" s="54" t="s">
        <v>12</v>
      </c>
      <c r="I29" s="55"/>
      <c r="J29" s="55"/>
      <c r="K29" s="56"/>
      <c r="L29" s="57">
        <f t="shared" ref="L29:N29" ca="1" si="13">L55</f>
        <v>0</v>
      </c>
      <c r="M29" s="57">
        <f t="shared" ca="1" si="13"/>
        <v>27587592.48</v>
      </c>
      <c r="N29" s="57">
        <f t="shared" ca="1" si="13"/>
        <v>13704691.48</v>
      </c>
      <c r="O29" s="57">
        <f t="shared" ca="1" si="1"/>
        <v>0</v>
      </c>
      <c r="P29" s="373">
        <f t="shared" ca="1" si="2"/>
        <v>49.677011467874195</v>
      </c>
    </row>
    <row r="30" spans="1:16" ht="20.25" hidden="1">
      <c r="A30" s="490"/>
      <c r="B30" s="488"/>
      <c r="C30" s="488"/>
      <c r="D30" s="488"/>
      <c r="E30" s="488"/>
      <c r="F30" s="488"/>
      <c r="G30" s="489"/>
      <c r="H30" s="20"/>
      <c r="I30" s="22"/>
      <c r="J30" s="22"/>
      <c r="K30" s="23"/>
      <c r="L30" s="23"/>
      <c r="M30" s="23"/>
      <c r="N30" s="23"/>
      <c r="O30" s="23"/>
      <c r="P30" s="374"/>
    </row>
    <row r="31" spans="1:16" ht="20.25" hidden="1">
      <c r="A31" s="359"/>
      <c r="B31" s="8"/>
      <c r="C31" s="9"/>
      <c r="D31" s="10"/>
      <c r="E31" s="8"/>
      <c r="F31" s="8"/>
      <c r="G31" s="11"/>
      <c r="H31" s="12"/>
      <c r="I31" s="13"/>
      <c r="J31" s="13"/>
      <c r="K31" s="14"/>
      <c r="L31" s="15"/>
      <c r="M31" s="15"/>
      <c r="N31" s="15"/>
      <c r="O31" s="15"/>
      <c r="P31" s="360"/>
    </row>
    <row r="32" spans="1:16" ht="20.25" hidden="1">
      <c r="A32" s="359"/>
      <c r="B32" s="8"/>
      <c r="C32" s="8"/>
      <c r="D32" s="8"/>
      <c r="E32" s="8"/>
      <c r="F32" s="8"/>
      <c r="G32" s="11"/>
      <c r="H32" s="16"/>
      <c r="I32" s="13"/>
      <c r="J32" s="13"/>
      <c r="K32" s="14"/>
      <c r="L32" s="17"/>
      <c r="M32" s="17"/>
      <c r="N32" s="17"/>
      <c r="O32" s="17"/>
      <c r="P32" s="361"/>
    </row>
    <row r="33" spans="1:16" ht="20.25" hidden="1">
      <c r="A33" s="359"/>
      <c r="B33" s="8"/>
      <c r="C33" s="8"/>
      <c r="D33" s="8"/>
      <c r="E33" s="8"/>
      <c r="F33" s="8"/>
      <c r="G33" s="11"/>
      <c r="H33" s="16"/>
      <c r="I33" s="13"/>
      <c r="J33" s="13"/>
      <c r="K33" s="14"/>
      <c r="L33" s="17"/>
      <c r="M33" s="17"/>
      <c r="N33" s="17"/>
      <c r="O33" s="17"/>
      <c r="P33" s="361"/>
    </row>
    <row r="34" spans="1:16" ht="20.25" hidden="1">
      <c r="A34" s="359"/>
      <c r="B34" s="8"/>
      <c r="C34" s="8"/>
      <c r="D34" s="18"/>
      <c r="E34" s="8"/>
      <c r="F34" s="8"/>
      <c r="G34" s="11"/>
      <c r="H34" s="16"/>
      <c r="I34" s="13"/>
      <c r="J34" s="13"/>
      <c r="K34" s="14"/>
      <c r="L34" s="17"/>
      <c r="M34" s="17"/>
      <c r="N34" s="17"/>
      <c r="O34" s="17"/>
      <c r="P34" s="361"/>
    </row>
    <row r="35" spans="1:16" ht="20.25" hidden="1">
      <c r="A35" s="359"/>
      <c r="B35" s="8"/>
      <c r="C35" s="8"/>
      <c r="D35" s="8"/>
      <c r="E35" s="8"/>
      <c r="F35" s="8"/>
      <c r="G35" s="11"/>
      <c r="H35" s="16"/>
      <c r="I35" s="13"/>
      <c r="J35" s="13"/>
      <c r="K35" s="14"/>
      <c r="L35" s="17"/>
      <c r="M35" s="17"/>
      <c r="N35" s="17"/>
      <c r="O35" s="17"/>
      <c r="P35" s="361"/>
    </row>
    <row r="36" spans="1:16" ht="20.25" hidden="1">
      <c r="A36" s="359"/>
      <c r="B36" s="8"/>
      <c r="C36" s="8"/>
      <c r="D36" s="8"/>
      <c r="E36" s="8"/>
      <c r="F36" s="8"/>
      <c r="G36" s="11"/>
      <c r="H36" s="16"/>
      <c r="I36" s="13"/>
      <c r="J36" s="13"/>
      <c r="K36" s="14"/>
      <c r="L36" s="17"/>
      <c r="M36" s="17"/>
      <c r="N36" s="17"/>
      <c r="O36" s="17"/>
      <c r="P36" s="361"/>
    </row>
    <row r="37" spans="1:16" ht="20.25" hidden="1">
      <c r="A37" s="359"/>
      <c r="B37" s="8"/>
      <c r="C37" s="8"/>
      <c r="D37" s="18"/>
      <c r="E37" s="8"/>
      <c r="F37" s="8"/>
      <c r="G37" s="11"/>
      <c r="H37" s="16"/>
      <c r="I37" s="13"/>
      <c r="J37" s="13"/>
      <c r="K37" s="14"/>
      <c r="L37" s="17"/>
      <c r="M37" s="17"/>
      <c r="N37" s="17"/>
      <c r="O37" s="17"/>
      <c r="P37" s="361"/>
    </row>
    <row r="38" spans="1:16" ht="20.25" hidden="1">
      <c r="A38" s="359"/>
      <c r="B38" s="8"/>
      <c r="C38" s="8"/>
      <c r="D38" s="8"/>
      <c r="E38" s="8"/>
      <c r="F38" s="8"/>
      <c r="G38" s="11"/>
      <c r="H38" s="16"/>
      <c r="I38" s="13"/>
      <c r="J38" s="13"/>
      <c r="K38" s="14"/>
      <c r="L38" s="17"/>
      <c r="M38" s="17"/>
      <c r="N38" s="17"/>
      <c r="O38" s="17"/>
      <c r="P38" s="361"/>
    </row>
    <row r="39" spans="1:16" ht="20.25" hidden="1">
      <c r="A39" s="362"/>
      <c r="B39" s="19"/>
      <c r="C39" s="19"/>
      <c r="D39" s="19"/>
      <c r="E39" s="19"/>
      <c r="F39" s="19"/>
      <c r="G39" s="20"/>
      <c r="H39" s="21"/>
      <c r="I39" s="22"/>
      <c r="J39" s="22"/>
      <c r="K39" s="23"/>
      <c r="L39" s="24"/>
      <c r="M39" s="24"/>
      <c r="N39" s="24"/>
      <c r="O39" s="24"/>
      <c r="P39" s="363"/>
    </row>
    <row r="40" spans="1:16" ht="20.25">
      <c r="A40" s="375" t="s">
        <v>21</v>
      </c>
      <c r="B40" s="376"/>
      <c r="C40" s="376"/>
      <c r="D40" s="376"/>
      <c r="E40" s="376"/>
      <c r="F40" s="376"/>
      <c r="G40" s="58"/>
      <c r="H40" s="58"/>
      <c r="I40" s="59"/>
      <c r="J40" s="59"/>
      <c r="K40" s="60"/>
      <c r="L40" s="61">
        <f t="shared" ref="L40:N40" ca="1" si="14">L44+L59+L72+L94+L125+L139+L157+L173+L186+L266+L282+L303+L320+L333+L356+L377</f>
        <v>767079800</v>
      </c>
      <c r="M40" s="61">
        <f t="shared" ca="1" si="14"/>
        <v>709950300</v>
      </c>
      <c r="N40" s="61">
        <f t="shared" ca="1" si="14"/>
        <v>287570863.29999989</v>
      </c>
      <c r="O40" s="61">
        <f ca="1">IF(L40&gt;0,N40*100/L40,0)</f>
        <v>37.489041335725418</v>
      </c>
      <c r="P40" s="377">
        <f ca="1">IF(M40&gt;0,N40*100/M40,0)</f>
        <v>40.505773897130531</v>
      </c>
    </row>
    <row r="41" spans="1:16" ht="20.25">
      <c r="A41" s="378" t="s">
        <v>22</v>
      </c>
      <c r="B41" s="62"/>
      <c r="C41" s="62"/>
      <c r="D41" s="62"/>
      <c r="E41" s="62"/>
      <c r="F41" s="62"/>
      <c r="G41" s="62"/>
      <c r="H41" s="62"/>
      <c r="I41" s="63"/>
      <c r="J41" s="63"/>
      <c r="K41" s="64"/>
      <c r="L41" s="64"/>
      <c r="M41" s="64"/>
      <c r="N41" s="64"/>
      <c r="O41" s="64"/>
      <c r="P41" s="379"/>
    </row>
    <row r="42" spans="1:16" ht="20.25">
      <c r="A42" s="380"/>
      <c r="B42" s="66" t="s">
        <v>23</v>
      </c>
      <c r="C42" s="65"/>
      <c r="D42" s="65"/>
      <c r="E42" s="65"/>
      <c r="F42" s="65"/>
      <c r="G42" s="65"/>
      <c r="H42" s="67"/>
      <c r="I42" s="68"/>
      <c r="J42" s="68"/>
      <c r="K42" s="69"/>
      <c r="L42" s="69"/>
      <c r="M42" s="69"/>
      <c r="N42" s="69"/>
      <c r="O42" s="69"/>
      <c r="P42" s="381"/>
    </row>
    <row r="43" spans="1:16" ht="20.25" hidden="1">
      <c r="A43" s="359"/>
      <c r="B43" s="8"/>
      <c r="C43" s="9"/>
      <c r="D43" s="10"/>
      <c r="E43" s="8"/>
      <c r="F43" s="8"/>
      <c r="G43" s="11"/>
      <c r="H43" s="12"/>
      <c r="I43" s="13"/>
      <c r="J43" s="13"/>
      <c r="K43" s="14"/>
      <c r="L43" s="15"/>
      <c r="M43" s="15"/>
      <c r="N43" s="15"/>
      <c r="O43" s="15"/>
      <c r="P43" s="360"/>
    </row>
    <row r="44" spans="1:16" ht="20.25">
      <c r="A44" s="382"/>
      <c r="B44" s="70"/>
      <c r="C44" s="482" t="s">
        <v>14</v>
      </c>
      <c r="D44" s="71" t="s">
        <v>15</v>
      </c>
      <c r="E44" s="70"/>
      <c r="F44" s="70"/>
      <c r="G44" s="72"/>
      <c r="H44" s="73" t="s">
        <v>12</v>
      </c>
      <c r="I44" s="74"/>
      <c r="J44" s="74"/>
      <c r="K44" s="75"/>
      <c r="L44" s="76">
        <f t="shared" ref="L44:N44" ca="1" si="15">L45+L46</f>
        <v>536469900</v>
      </c>
      <c r="M44" s="76">
        <f t="shared" ca="1" si="15"/>
        <v>536469900</v>
      </c>
      <c r="N44" s="76">
        <f t="shared" ca="1" si="15"/>
        <v>212093918.26999998</v>
      </c>
      <c r="O44" s="76">
        <f t="shared" ref="O44:O55" ca="1" si="16">IF(L44&gt;0,N44*100/L44,0)</f>
        <v>39.535101274088255</v>
      </c>
      <c r="P44" s="383">
        <f t="shared" ref="P44:P55" ca="1" si="17">IF(M44&gt;0,N44*100/M44,0)</f>
        <v>39.535101274088255</v>
      </c>
    </row>
    <row r="45" spans="1:16" ht="20.25">
      <c r="A45" s="382"/>
      <c r="B45" s="70"/>
      <c r="C45" s="70"/>
      <c r="D45" s="70"/>
      <c r="E45" s="70" t="s">
        <v>16</v>
      </c>
      <c r="F45" s="70"/>
      <c r="G45" s="72"/>
      <c r="H45" s="77" t="s">
        <v>12</v>
      </c>
      <c r="I45" s="74"/>
      <c r="J45" s="74"/>
      <c r="K45" s="75"/>
      <c r="L45" s="78">
        <f t="shared" ref="L45:N45" ca="1" si="18">L48+L51+L54</f>
        <v>511930173</v>
      </c>
      <c r="M45" s="78">
        <f t="shared" ca="1" si="18"/>
        <v>483768765.51999998</v>
      </c>
      <c r="N45" s="78">
        <f t="shared" ca="1" si="18"/>
        <v>188143413.03999999</v>
      </c>
      <c r="O45" s="78">
        <f t="shared" ca="1" si="16"/>
        <v>36.751772597705433</v>
      </c>
      <c r="P45" s="384">
        <f t="shared" ca="1" si="17"/>
        <v>38.891186544002245</v>
      </c>
    </row>
    <row r="46" spans="1:16" ht="20.25">
      <c r="A46" s="382"/>
      <c r="B46" s="70"/>
      <c r="C46" s="70"/>
      <c r="D46" s="70"/>
      <c r="E46" s="70" t="s">
        <v>17</v>
      </c>
      <c r="F46" s="70"/>
      <c r="G46" s="72"/>
      <c r="H46" s="77" t="s">
        <v>12</v>
      </c>
      <c r="I46" s="74"/>
      <c r="J46" s="74"/>
      <c r="K46" s="75"/>
      <c r="L46" s="78">
        <f t="shared" ref="L46:N46" ca="1" si="19">L49+L52+L55</f>
        <v>24539727</v>
      </c>
      <c r="M46" s="78">
        <f t="shared" ca="1" si="19"/>
        <v>52701134.480000004</v>
      </c>
      <c r="N46" s="78">
        <f t="shared" ca="1" si="19"/>
        <v>23950505.23</v>
      </c>
      <c r="O46" s="78">
        <f t="shared" ca="1" si="16"/>
        <v>97.598906581153088</v>
      </c>
      <c r="P46" s="384">
        <f t="shared" ca="1" si="17"/>
        <v>45.445900674280892</v>
      </c>
    </row>
    <row r="47" spans="1:16" ht="20.25">
      <c r="A47" s="368"/>
      <c r="B47" s="38"/>
      <c r="C47" s="38"/>
      <c r="D47" s="39" t="s">
        <v>18</v>
      </c>
      <c r="E47" s="38"/>
      <c r="F47" s="38"/>
      <c r="G47" s="40"/>
      <c r="H47" s="41" t="s">
        <v>12</v>
      </c>
      <c r="I47" s="42"/>
      <c r="J47" s="42"/>
      <c r="K47" s="43"/>
      <c r="L47" s="44">
        <f t="shared" ref="L47:N47" ca="1" si="20">L48+L49</f>
        <v>34054500</v>
      </c>
      <c r="M47" s="44">
        <f t="shared" ca="1" si="20"/>
        <v>34054500</v>
      </c>
      <c r="N47" s="44">
        <f t="shared" ca="1" si="20"/>
        <v>12549755.879999999</v>
      </c>
      <c r="O47" s="44">
        <f t="shared" ca="1" si="16"/>
        <v>36.851975157468175</v>
      </c>
      <c r="P47" s="369">
        <f t="shared" ca="1" si="17"/>
        <v>36.851975157468175</v>
      </c>
    </row>
    <row r="48" spans="1:16" ht="20.25">
      <c r="A48" s="368"/>
      <c r="B48" s="38"/>
      <c r="C48" s="38"/>
      <c r="D48" s="38"/>
      <c r="E48" s="38" t="s">
        <v>16</v>
      </c>
      <c r="F48" s="38"/>
      <c r="G48" s="40"/>
      <c r="H48" s="41" t="s">
        <v>12</v>
      </c>
      <c r="I48" s="42"/>
      <c r="J48" s="42"/>
      <c r="K48" s="43"/>
      <c r="L48" s="44">
        <f ca="1">IFERROR(__xludf.DUMMYFUNCTION("IMPORTRANGE(""https://docs.google.com/spreadsheets/d/1-uDff_7J0KD5mKrp0Vvzr7lt3OU09vwQwhkpOPPYv2Y/edit?usp=sharing"",""งบพรบ!P9"")"),9514773)</f>
        <v>9514773</v>
      </c>
      <c r="M48" s="44">
        <f ca="1">IFERROR(__xludf.DUMMYFUNCTION("IMPORTRANGE(""https://docs.google.com/spreadsheets/d/1-uDff_7J0KD5mKrp0Vvzr7lt3OU09vwQwhkpOPPYv2Y/edit?usp=sharing"",""งบพรบ!V9"")"),8940958)</f>
        <v>8940958</v>
      </c>
      <c r="N48" s="44">
        <f ca="1">IFERROR(__xludf.DUMMYFUNCTION("IMPORTRANGE(""https://docs.google.com/spreadsheets/d/1-uDff_7J0KD5mKrp0Vvzr7lt3OU09vwQwhkpOPPYv2Y/edit?usp=sharing"",""งบพรบ!Y9"")"),2303942.13)</f>
        <v>2303942.13</v>
      </c>
      <c r="O48" s="44">
        <f t="shared" ca="1" si="16"/>
        <v>24.214367804675948</v>
      </c>
      <c r="P48" s="369">
        <f t="shared" ca="1" si="17"/>
        <v>25.768403452963319</v>
      </c>
    </row>
    <row r="49" spans="1:16" ht="20.25">
      <c r="A49" s="368"/>
      <c r="B49" s="38"/>
      <c r="C49" s="38"/>
      <c r="D49" s="38"/>
      <c r="E49" s="38" t="s">
        <v>17</v>
      </c>
      <c r="F49" s="38"/>
      <c r="G49" s="40"/>
      <c r="H49" s="41" t="s">
        <v>12</v>
      </c>
      <c r="I49" s="42"/>
      <c r="J49" s="42"/>
      <c r="K49" s="43"/>
      <c r="L49" s="44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+IMPORTRANGE(""https://docs.google.com/spreadsheets/d/1uenpWDAH2bchvfvsSIjpd4bRU5D1faxJOaE34G"&amp;"QM5-c/edit?usp=sharing"",""รวมใต้!L49"")"),24539727)</f>
        <v>24539727</v>
      </c>
      <c r="M49" s="44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+IMPORTRANGE(""https://docs.google.com/spreadsheets/d/1uenpWDAH2bchvfvsSIjpd4bRU5D1faxJOaE34G"&amp;"QM5-c/edit?usp=sharing"",""รวมใต้!M49"")"),25113542)</f>
        <v>25113542</v>
      </c>
      <c r="N49" s="44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+IMPORTRANGE(""https://docs.google.com/spreadsheets/d/1uenpWDAH2bchvfvsSIjpd4bRU5D1faxJOaE34G"&amp;"QM5-c/edit?usp=sharing"",""รวมใต้!N49"")"),10245813.75)</f>
        <v>10245813.75</v>
      </c>
      <c r="O49" s="44">
        <f t="shared" ca="1" si="16"/>
        <v>41.751946751485868</v>
      </c>
      <c r="P49" s="369">
        <f t="shared" ca="1" si="17"/>
        <v>40.797963704203895</v>
      </c>
    </row>
    <row r="50" spans="1:16" ht="20.25">
      <c r="A50" s="368"/>
      <c r="B50" s="38"/>
      <c r="C50" s="38"/>
      <c r="D50" s="39" t="s">
        <v>19</v>
      </c>
      <c r="E50" s="38"/>
      <c r="F50" s="38"/>
      <c r="G50" s="40"/>
      <c r="H50" s="41" t="s">
        <v>12</v>
      </c>
      <c r="I50" s="42"/>
      <c r="J50" s="42"/>
      <c r="K50" s="43"/>
      <c r="L50" s="44">
        <f t="shared" ref="L50:N50" ca="1" si="21">L51+L52</f>
        <v>0</v>
      </c>
      <c r="M50" s="44">
        <f t="shared" ca="1" si="21"/>
        <v>0</v>
      </c>
      <c r="N50" s="44">
        <f t="shared" ca="1" si="21"/>
        <v>0</v>
      </c>
      <c r="O50" s="44">
        <f t="shared" ca="1" si="16"/>
        <v>0</v>
      </c>
      <c r="P50" s="369">
        <f t="shared" ca="1" si="17"/>
        <v>0</v>
      </c>
    </row>
    <row r="51" spans="1:16" ht="20.25">
      <c r="A51" s="368"/>
      <c r="B51" s="38"/>
      <c r="C51" s="38"/>
      <c r="D51" s="38"/>
      <c r="E51" s="38" t="s">
        <v>16</v>
      </c>
      <c r="F51" s="38"/>
      <c r="G51" s="40"/>
      <c r="H51" s="41" t="s">
        <v>12</v>
      </c>
      <c r="I51" s="42"/>
      <c r="J51" s="42"/>
      <c r="K51" s="43"/>
      <c r="L51" s="44">
        <f ca="1">IFERROR(__xludf.DUMMYFUNCTION("IMPORTRANGE(""https://docs.google.com/spreadsheets/d/12pGRKgvn2b31Uz_fjAl3XPzZUM_F2_O-zAHL2XHEPZg/edit?usp=sharing"",""รวมเหนือ!L51"")+IMPORTRANGE(""https://docs.google.com/spreadsheets/d/1c0UfJUA6nE6esVMy0kRcX_PENtt96DMxicQpqi3tips/edit?usp=sharing"",""ร"&amp;"วมตะวันออกเฉียงเหนือ!L51"")+IMPORTRANGE(""https://docs.google.com/spreadsheets/d/1iNWbYmj0agxPDl_yJgGu1eIremFPVMUuMWUKAjBzvrk/edit?usp=sharing"",""รวมกลาง!L51"")++IMPORTRANGE(""https://docs.google.com/spreadsheets/d/1uenpWDAH2bchvfvsSIjpd4bRU5D1faxJOaE34G"&amp;"QM5-c/edit?usp=sharing"",""รวมใต้!L51"")"),0)</f>
        <v>0</v>
      </c>
      <c r="M51" s="44">
        <f ca="1">IFERROR(__xludf.DUMMYFUNCTION("IMPORTRANGE(""https://docs.google.com/spreadsheets/d/12pGRKgvn2b31Uz_fjAl3XPzZUM_F2_O-zAHL2XHEPZg/edit?usp=sharing"",""รวมเหนือ!M51"")+IMPORTRANGE(""https://docs.google.com/spreadsheets/d/1c0UfJUA6nE6esVMy0kRcX_PENtt96DMxicQpqi3tips/edit?usp=sharing"",""ร"&amp;"วมตะวันออกเฉียงเหนือ!M51"")+IMPORTRANGE(""https://docs.google.com/spreadsheets/d/1iNWbYmj0agxPDl_yJgGu1eIremFPVMUuMWUKAjBzvrk/edit?usp=sharing"",""รวมกลาง!M51"")++IMPORTRANGE(""https://docs.google.com/spreadsheets/d/1uenpWDAH2bchvfvsSIjpd4bRU5D1faxJOaE34G"&amp;"QM5-c/edit?usp=sharing"",""รวมใต้!M51"")"),0)</f>
        <v>0</v>
      </c>
      <c r="N51" s="44">
        <f ca="1">IFERROR(__xludf.DUMMYFUNCTION("IMPORTRANGE(""https://docs.google.com/spreadsheets/d/12pGRKgvn2b31Uz_fjAl3XPzZUM_F2_O-zAHL2XHEPZg/edit?usp=sharing"",""รวมเหนือ!N51"")+IMPORTRANGE(""https://docs.google.com/spreadsheets/d/1c0UfJUA6nE6esVMy0kRcX_PENtt96DMxicQpqi3tips/edit?usp=sharing"",""ร"&amp;"วมตะวันออกเฉียงเหนือ!N51"")+IMPORTRANGE(""https://docs.google.com/spreadsheets/d/1iNWbYmj0agxPDl_yJgGu1eIremFPVMUuMWUKAjBzvrk/edit?usp=sharing"",""รวมกลาง!N51"")++IMPORTRANGE(""https://docs.google.com/spreadsheets/d/1uenpWDAH2bchvfvsSIjpd4bRU5D1faxJOaE34G"&amp;"QM5-c/edit?usp=sharing"",""รวมใต้!N51"")"),0)</f>
        <v>0</v>
      </c>
      <c r="O51" s="44">
        <f t="shared" ca="1" si="16"/>
        <v>0</v>
      </c>
      <c r="P51" s="369">
        <f t="shared" ca="1" si="17"/>
        <v>0</v>
      </c>
    </row>
    <row r="52" spans="1:16" ht="20.25">
      <c r="A52" s="368"/>
      <c r="B52" s="38"/>
      <c r="C52" s="38"/>
      <c r="D52" s="38"/>
      <c r="E52" s="38" t="s">
        <v>17</v>
      </c>
      <c r="F52" s="38"/>
      <c r="G52" s="40"/>
      <c r="H52" s="41" t="s">
        <v>12</v>
      </c>
      <c r="I52" s="42"/>
      <c r="J52" s="42"/>
      <c r="K52" s="43"/>
      <c r="L52" s="44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+IMPORTRANGE(""https://docs.google.com/spreadsheets/d/1uenpWDAH2bchvfvsSIjpd4bRU5D1faxJOaE34G"&amp;"QM5-c/edit?usp=sharing"",""รวมใต้!L52"")"),0)</f>
        <v>0</v>
      </c>
      <c r="M52" s="44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+IMPORTRANGE(""https://docs.google.com/spreadsheets/d/1uenpWDAH2bchvfvsSIjpd4bRU5D1faxJOaE34G"&amp;"QM5-c/edit?usp=sharing"",""รวมใต้!M52"")"),0)</f>
        <v>0</v>
      </c>
      <c r="N52" s="44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+IMPORTRANGE(""https://docs.google.com/spreadsheets/d/1uenpWDAH2bchvfvsSIjpd4bRU5D1faxJOaE34G"&amp;"QM5-c/edit?usp=sharing"",""รวมใต้!N52"")"),0)</f>
        <v>0</v>
      </c>
      <c r="O52" s="44">
        <f t="shared" ca="1" si="16"/>
        <v>0</v>
      </c>
      <c r="P52" s="369">
        <f t="shared" ca="1" si="17"/>
        <v>0</v>
      </c>
    </row>
    <row r="53" spans="1:16" ht="20.25">
      <c r="A53" s="370"/>
      <c r="B53" s="45"/>
      <c r="C53" s="45"/>
      <c r="D53" s="46" t="s">
        <v>20</v>
      </c>
      <c r="E53" s="45"/>
      <c r="F53" s="45"/>
      <c r="G53" s="47"/>
      <c r="H53" s="48" t="s">
        <v>12</v>
      </c>
      <c r="I53" s="49"/>
      <c r="J53" s="49"/>
      <c r="K53" s="50"/>
      <c r="L53" s="51">
        <f t="shared" ref="L53:N53" ca="1" si="22">L54+L55</f>
        <v>502415400</v>
      </c>
      <c r="M53" s="51">
        <f t="shared" ca="1" si="22"/>
        <v>502415400</v>
      </c>
      <c r="N53" s="51">
        <f t="shared" ca="1" si="22"/>
        <v>199544162.38999999</v>
      </c>
      <c r="O53" s="51">
        <f t="shared" ca="1" si="16"/>
        <v>39.716967750192367</v>
      </c>
      <c r="P53" s="371">
        <f t="shared" ca="1" si="17"/>
        <v>39.716967750192367</v>
      </c>
    </row>
    <row r="54" spans="1:16" ht="20.25">
      <c r="A54" s="368"/>
      <c r="B54" s="38"/>
      <c r="C54" s="38"/>
      <c r="D54" s="38"/>
      <c r="E54" s="38" t="s">
        <v>16</v>
      </c>
      <c r="F54" s="38"/>
      <c r="G54" s="40"/>
      <c r="H54" s="41" t="s">
        <v>12</v>
      </c>
      <c r="I54" s="42"/>
      <c r="J54" s="42"/>
      <c r="K54" s="43"/>
      <c r="L54" s="44">
        <f ca="1">IFERROR(__xludf.DUMMYFUNCTION("IMPORTRANGE(""https://docs.google.com/spreadsheets/d/1-uDff_7J0KD5mKrp0Vvzr7lt3OU09vwQwhkpOPPYv2Y/edit?usp=sharing"",""งบพรบ!U9"")"),502415400)</f>
        <v>502415400</v>
      </c>
      <c r="M54" s="44">
        <f ca="1">IFERROR(__xludf.DUMMYFUNCTION("IMPORTRANGE(""https://docs.google.com/spreadsheets/d/1-uDff_7J0KD5mKrp0Vvzr7lt3OU09vwQwhkpOPPYv2Y/edit?usp=sharing"",""งบพรบ!X9"")"),474827807.52)</f>
        <v>474827807.51999998</v>
      </c>
      <c r="N54" s="44">
        <f ca="1">IFERROR(__xludf.DUMMYFUNCTION("IMPORTRANGE(""https://docs.google.com/spreadsheets/d/1-uDff_7J0KD5mKrp0Vvzr7lt3OU09vwQwhkpOPPYv2Y/edit?usp=sharing"",""งบพรบ!AB9"")"),185839470.91)</f>
        <v>185839470.91</v>
      </c>
      <c r="O54" s="44">
        <f t="shared" ca="1" si="16"/>
        <v>36.989206722166557</v>
      </c>
      <c r="P54" s="369">
        <f t="shared" ca="1" si="17"/>
        <v>39.138287178383578</v>
      </c>
    </row>
    <row r="55" spans="1:16" ht="20.25">
      <c r="A55" s="372"/>
      <c r="B55" s="52"/>
      <c r="C55" s="52"/>
      <c r="D55" s="52"/>
      <c r="E55" s="52" t="s">
        <v>17</v>
      </c>
      <c r="F55" s="52"/>
      <c r="G55" s="53"/>
      <c r="H55" s="54" t="s">
        <v>12</v>
      </c>
      <c r="I55" s="55"/>
      <c r="J55" s="55"/>
      <c r="K55" s="56"/>
      <c r="L55" s="57">
        <f ca="1">IFERROR(__xludf.DUMMYFUNCTION("IMPORTRANGE(""https://docs.google.com/spreadsheets/d/12pGRKgvn2b31Uz_fjAl3XPzZUM_F2_O-zAHL2XHEPZg/edit?usp=sharing"",""รวมเหนือ!L55"")+IMPORTRANGE(""https://docs.google.com/spreadsheets/d/1c0UfJUA6nE6esVMy0kRcX_PENtt96DMxicQpqi3tips/edit?usp=sharing"",""ร"&amp;"วมตะวันออกเฉียงเหนือ!L55"")+IMPORTRANGE(""https://docs.google.com/spreadsheets/d/1iNWbYmj0agxPDl_yJgGu1eIremFPVMUuMWUKAjBzvrk/edit?usp=sharing"",""รวมกลาง!L55"")++IMPORTRANGE(""https://docs.google.com/spreadsheets/d/1uenpWDAH2bchvfvsSIjpd4bRU5D1faxJOaE34G"&amp;"QM5-c/edit?usp=sharing"",""รวมใต้!L55"")"),0)</f>
        <v>0</v>
      </c>
      <c r="M55" s="57">
        <f ca="1">IFERROR(__xludf.DUMMYFUNCTION("IMPORTRANGE(""https://docs.google.com/spreadsheets/d/1-uDff_7J0KD5mKrp0Vvzr7lt3OU09vwQwhkpOPPYv2Y/edit?usp=sharing"",""งบพรบ!X8"")"),27587592.48)</f>
        <v>27587592.48</v>
      </c>
      <c r="N55" s="57">
        <f ca="1">IFERROR(__xludf.DUMMYFUNCTION("IMPORTRANGE(""https://docs.google.com/spreadsheets/d/1-uDff_7J0KD5mKrp0Vvzr7lt3OU09vwQwhkpOPPYv2Y/edit?usp=sharing"",""งบพรบ!AB8"")"),13704691.48)</f>
        <v>13704691.48</v>
      </c>
      <c r="O55" s="57">
        <f t="shared" ca="1" si="16"/>
        <v>0</v>
      </c>
      <c r="P55" s="373">
        <f t="shared" ca="1" si="17"/>
        <v>49.677011467874195</v>
      </c>
    </row>
    <row r="56" spans="1:16" ht="20.25">
      <c r="A56" s="491" t="s">
        <v>24</v>
      </c>
      <c r="B56" s="485"/>
      <c r="C56" s="485"/>
      <c r="D56" s="485"/>
      <c r="E56" s="485"/>
      <c r="F56" s="485"/>
      <c r="G56" s="485"/>
      <c r="H56" s="79"/>
      <c r="I56" s="80"/>
      <c r="J56" s="80"/>
      <c r="K56" s="81"/>
      <c r="L56" s="81"/>
      <c r="M56" s="81"/>
      <c r="N56" s="81"/>
      <c r="O56" s="81"/>
      <c r="P56" s="385"/>
    </row>
    <row r="57" spans="1:16" ht="20.25">
      <c r="A57" s="386"/>
      <c r="B57" s="492" t="s">
        <v>25</v>
      </c>
      <c r="C57" s="493"/>
      <c r="D57" s="493"/>
      <c r="E57" s="493"/>
      <c r="F57" s="493"/>
      <c r="G57" s="494"/>
      <c r="H57" s="82"/>
      <c r="I57" s="83"/>
      <c r="J57" s="83"/>
      <c r="K57" s="84"/>
      <c r="L57" s="84"/>
      <c r="M57" s="84"/>
      <c r="N57" s="84"/>
      <c r="O57" s="84"/>
      <c r="P57" s="387"/>
    </row>
    <row r="58" spans="1:16" ht="20.25">
      <c r="A58" s="388"/>
      <c r="B58" s="85" t="s">
        <v>26</v>
      </c>
      <c r="C58" s="86"/>
      <c r="D58" s="86"/>
      <c r="E58" s="86"/>
      <c r="F58" s="86"/>
      <c r="G58" s="87"/>
      <c r="H58" s="87"/>
      <c r="I58" s="88"/>
      <c r="J58" s="88"/>
      <c r="K58" s="89"/>
      <c r="L58" s="89"/>
      <c r="M58" s="89"/>
      <c r="N58" s="89"/>
      <c r="O58" s="89"/>
      <c r="P58" s="389"/>
    </row>
    <row r="59" spans="1:16" ht="20.25">
      <c r="A59" s="390"/>
      <c r="B59" s="90"/>
      <c r="C59" s="481" t="s">
        <v>14</v>
      </c>
      <c r="D59" s="91" t="s">
        <v>15</v>
      </c>
      <c r="E59" s="90"/>
      <c r="F59" s="90"/>
      <c r="G59" s="92"/>
      <c r="H59" s="93" t="s">
        <v>12</v>
      </c>
      <c r="I59" s="94"/>
      <c r="J59" s="94"/>
      <c r="K59" s="95"/>
      <c r="L59" s="96">
        <f t="shared" ref="L59:N59" ca="1" si="23">L60+L61</f>
        <v>77308800</v>
      </c>
      <c r="M59" s="96">
        <f t="shared" ca="1" si="23"/>
        <v>60902600</v>
      </c>
      <c r="N59" s="96">
        <f t="shared" ca="1" si="23"/>
        <v>43295321.959999904</v>
      </c>
      <c r="O59" s="96">
        <f t="shared" ref="O59:O67" ca="1" si="24">IF(L59&gt;0,N59*100/L59,0)</f>
        <v>56.003096620307005</v>
      </c>
      <c r="P59" s="391">
        <f t="shared" ref="P59:P67" ca="1" si="25">IF(M59&gt;0,N59*100/M59,0)</f>
        <v>71.089447675468548</v>
      </c>
    </row>
    <row r="60" spans="1:16" ht="20.25">
      <c r="A60" s="390"/>
      <c r="B60" s="90"/>
      <c r="C60" s="90"/>
      <c r="D60" s="90"/>
      <c r="E60" s="90" t="s">
        <v>16</v>
      </c>
      <c r="F60" s="90"/>
      <c r="G60" s="92"/>
      <c r="H60" s="97" t="s">
        <v>12</v>
      </c>
      <c r="I60" s="94"/>
      <c r="J60" s="94"/>
      <c r="K60" s="95"/>
      <c r="L60" s="98">
        <f t="shared" ref="L60:N60" ca="1" si="26">L63+L66</f>
        <v>42256000</v>
      </c>
      <c r="M60" s="98">
        <f t="shared" ca="1" si="26"/>
        <v>33943370</v>
      </c>
      <c r="N60" s="98">
        <f t="shared" ca="1" si="26"/>
        <v>26586128.710000001</v>
      </c>
      <c r="O60" s="98">
        <f t="shared" ca="1" si="24"/>
        <v>62.916813493941689</v>
      </c>
      <c r="P60" s="392">
        <f t="shared" ca="1" si="25"/>
        <v>78.324953326673224</v>
      </c>
    </row>
    <row r="61" spans="1:16" ht="20.25">
      <c r="A61" s="390"/>
      <c r="B61" s="90"/>
      <c r="C61" s="90"/>
      <c r="D61" s="90"/>
      <c r="E61" s="90" t="s">
        <v>17</v>
      </c>
      <c r="F61" s="90"/>
      <c r="G61" s="92"/>
      <c r="H61" s="97" t="s">
        <v>12</v>
      </c>
      <c r="I61" s="94"/>
      <c r="J61" s="94"/>
      <c r="K61" s="95"/>
      <c r="L61" s="98">
        <f t="shared" ref="L61:N61" ca="1" si="27">L64+L67</f>
        <v>35052800</v>
      </c>
      <c r="M61" s="98">
        <f t="shared" ca="1" si="27"/>
        <v>26959230</v>
      </c>
      <c r="N61" s="98">
        <f t="shared" ca="1" si="27"/>
        <v>16709193.249999899</v>
      </c>
      <c r="O61" s="98">
        <f t="shared" ca="1" si="24"/>
        <v>47.668640593618484</v>
      </c>
      <c r="P61" s="392">
        <f t="shared" ca="1" si="25"/>
        <v>61.979489955758751</v>
      </c>
    </row>
    <row r="62" spans="1:16" ht="20.25">
      <c r="A62" s="368"/>
      <c r="B62" s="38"/>
      <c r="C62" s="38"/>
      <c r="D62" s="39" t="s">
        <v>18</v>
      </c>
      <c r="E62" s="38"/>
      <c r="F62" s="38"/>
      <c r="G62" s="40"/>
      <c r="H62" s="41" t="s">
        <v>12</v>
      </c>
      <c r="I62" s="42"/>
      <c r="J62" s="42"/>
      <c r="K62" s="43"/>
      <c r="L62" s="44">
        <f t="shared" ref="L62:N62" ca="1" si="28">L63+L64</f>
        <v>77308800</v>
      </c>
      <c r="M62" s="44">
        <f t="shared" ca="1" si="28"/>
        <v>60902600</v>
      </c>
      <c r="N62" s="44">
        <f t="shared" ca="1" si="28"/>
        <v>43295321.959999904</v>
      </c>
      <c r="O62" s="44">
        <f t="shared" ca="1" si="24"/>
        <v>56.003096620307005</v>
      </c>
      <c r="P62" s="369">
        <f t="shared" ca="1" si="25"/>
        <v>71.089447675468548</v>
      </c>
    </row>
    <row r="63" spans="1:16" ht="20.25">
      <c r="A63" s="368"/>
      <c r="B63" s="38"/>
      <c r="C63" s="38"/>
      <c r="D63" s="38"/>
      <c r="E63" s="38" t="s">
        <v>16</v>
      </c>
      <c r="F63" s="38"/>
      <c r="G63" s="40"/>
      <c r="H63" s="41" t="s">
        <v>12</v>
      </c>
      <c r="I63" s="42"/>
      <c r="J63" s="42"/>
      <c r="K63" s="43"/>
      <c r="L63" s="44">
        <f ca="1">IFERROR(__xludf.DUMMYFUNCTION("IMPORTRANGE(""https://docs.google.com/spreadsheets/d/1-uDff_7J0KD5mKrp0Vvzr7lt3OU09vwQwhkpOPPYv2Y/edit?usp=sharing"",""งบพรบ!AC9"")"),42256000)</f>
        <v>42256000</v>
      </c>
      <c r="M63" s="44">
        <f ca="1">IFERROR(__xludf.DUMMYFUNCTION("IMPORTRANGE(""https://docs.google.com/spreadsheets/d/1-uDff_7J0KD5mKrp0Vvzr7lt3OU09vwQwhkpOPPYv2Y/edit?usp=sharing"",""งบพรบ!AH9"")"),33943370)</f>
        <v>33943370</v>
      </c>
      <c r="N63" s="44">
        <f ca="1">IFERROR(__xludf.DUMMYFUNCTION("IMPORTRANGE(""https://docs.google.com/spreadsheets/d/1-uDff_7J0KD5mKrp0Vvzr7lt3OU09vwQwhkpOPPYv2Y/edit?usp=sharing"",""งบพรบ!AJ9"")"),26586128.71)</f>
        <v>26586128.710000001</v>
      </c>
      <c r="O63" s="44">
        <f t="shared" ca="1" si="24"/>
        <v>62.916813493941689</v>
      </c>
      <c r="P63" s="369">
        <f t="shared" ca="1" si="25"/>
        <v>78.324953326673224</v>
      </c>
    </row>
    <row r="64" spans="1:16" ht="20.25">
      <c r="A64" s="368"/>
      <c r="B64" s="38"/>
      <c r="C64" s="38"/>
      <c r="D64" s="38"/>
      <c r="E64" s="38" t="s">
        <v>17</v>
      </c>
      <c r="F64" s="38"/>
      <c r="G64" s="40"/>
      <c r="H64" s="41" t="s">
        <v>12</v>
      </c>
      <c r="I64" s="42"/>
      <c r="J64" s="42"/>
      <c r="K64" s="43"/>
      <c r="L64" s="44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+IMPORTRANGE(""https://docs.google.com/spreadsheets/d/1uenpWDAH2bchvfvsSIjpd4bRU5D1faxJOaE34G"&amp;"QM5-c/edit?usp=sharing"",""รวมใต้!L64"")"),35052800)</f>
        <v>35052800</v>
      </c>
      <c r="M64" s="44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+IMPORTRANGE(""https://docs.google.com/spreadsheets/d/1uenpWDAH2bchvfvsSIjpd4bRU5D1faxJOaE34G"&amp;"QM5-c/edit?usp=sharing"",""รวมใต้!M64"")"),26959230)</f>
        <v>26959230</v>
      </c>
      <c r="N64" s="44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+IMPORTRANGE(""https://docs.google.com/spreadsheets/d/1uenpWDAH2bchvfvsSIjpd4bRU5D1faxJOaE34G"&amp;"QM5-c/edit?usp=sharing"",""รวมใต้!N64"")"),16709193.2499999)</f>
        <v>16709193.249999899</v>
      </c>
      <c r="O64" s="44">
        <f t="shared" ca="1" si="24"/>
        <v>47.668640593618484</v>
      </c>
      <c r="P64" s="369">
        <f t="shared" ca="1" si="25"/>
        <v>61.979489955758751</v>
      </c>
    </row>
    <row r="65" spans="1:16" ht="20.25">
      <c r="A65" s="368"/>
      <c r="B65" s="38"/>
      <c r="C65" s="38"/>
      <c r="D65" s="39" t="s">
        <v>19</v>
      </c>
      <c r="E65" s="38"/>
      <c r="F65" s="38"/>
      <c r="G65" s="40"/>
      <c r="H65" s="41" t="s">
        <v>12</v>
      </c>
      <c r="I65" s="42"/>
      <c r="J65" s="42"/>
      <c r="K65" s="43"/>
      <c r="L65" s="44">
        <f t="shared" ref="L65:N65" ca="1" si="29">L66+L67</f>
        <v>0</v>
      </c>
      <c r="M65" s="44">
        <f t="shared" ca="1" si="29"/>
        <v>0</v>
      </c>
      <c r="N65" s="44">
        <f t="shared" ca="1" si="29"/>
        <v>0</v>
      </c>
      <c r="O65" s="44">
        <f t="shared" ca="1" si="24"/>
        <v>0</v>
      </c>
      <c r="P65" s="369">
        <f t="shared" ca="1" si="25"/>
        <v>0</v>
      </c>
    </row>
    <row r="66" spans="1:16" ht="20.25">
      <c r="A66" s="368"/>
      <c r="B66" s="38"/>
      <c r="C66" s="38"/>
      <c r="D66" s="38"/>
      <c r="E66" s="38" t="s">
        <v>16</v>
      </c>
      <c r="F66" s="38"/>
      <c r="G66" s="40"/>
      <c r="H66" s="41" t="s">
        <v>12</v>
      </c>
      <c r="I66" s="42"/>
      <c r="J66" s="42"/>
      <c r="K66" s="43"/>
      <c r="L66" s="44">
        <f ca="1">IFERROR(__xludf.DUMMYFUNCTION("IMPORTRANGE(""https://docs.google.com/spreadsheets/d/12pGRKgvn2b31Uz_fjAl3XPzZUM_F2_O-zAHL2XHEPZg/edit?usp=sharing"",""รวมเหนือ!L66"")+IMPORTRANGE(""https://docs.google.com/spreadsheets/d/1c0UfJUA6nE6esVMy0kRcX_PENtt96DMxicQpqi3tips/edit?usp=sharing"",""ร"&amp;"วมตะวันออกเฉียงเหนือ!L66"")+IMPORTRANGE(""https://docs.google.com/spreadsheets/d/1iNWbYmj0agxPDl_yJgGu1eIremFPVMUuMWUKAjBzvrk/edit?usp=sharing"",""รวมกลาง!L66"")++IMPORTRANGE(""https://docs.google.com/spreadsheets/d/1uenpWDAH2bchvfvsSIjpd4bRU5D1faxJOaE34G"&amp;"QM5-c/edit?usp=sharing"",""รวมใต้!L66"")"),0)</f>
        <v>0</v>
      </c>
      <c r="M66" s="44">
        <f ca="1">IFERROR(__xludf.DUMMYFUNCTION("IMPORTRANGE(""https://docs.google.com/spreadsheets/d/12pGRKgvn2b31Uz_fjAl3XPzZUM_F2_O-zAHL2XHEPZg/edit?usp=sharing"",""รวมเหนือ!M66"")+IMPORTRANGE(""https://docs.google.com/spreadsheets/d/1c0UfJUA6nE6esVMy0kRcX_PENtt96DMxicQpqi3tips/edit?usp=sharing"",""ร"&amp;"วมตะวันออกเฉียงเหนือ!M66"")+IMPORTRANGE(""https://docs.google.com/spreadsheets/d/1iNWbYmj0agxPDl_yJgGu1eIremFPVMUuMWUKAjBzvrk/edit?usp=sharing"",""รวมกลาง!M66"")++IMPORTRANGE(""https://docs.google.com/spreadsheets/d/1uenpWDAH2bchvfvsSIjpd4bRU5D1faxJOaE34G"&amp;"QM5-c/edit?usp=sharing"",""รวมใต้!M66"")"),0)</f>
        <v>0</v>
      </c>
      <c r="N66" s="44">
        <f ca="1">IFERROR(__xludf.DUMMYFUNCTION("IMPORTRANGE(""https://docs.google.com/spreadsheets/d/12pGRKgvn2b31Uz_fjAl3XPzZUM_F2_O-zAHL2XHEPZg/edit?usp=sharing"",""รวมเหนือ!N66"")+IMPORTRANGE(""https://docs.google.com/spreadsheets/d/1c0UfJUA6nE6esVMy0kRcX_PENtt96DMxicQpqi3tips/edit?usp=sharing"",""ร"&amp;"วมตะวันออกเฉียงเหนือ!N66"")+IMPORTRANGE(""https://docs.google.com/spreadsheets/d/1iNWbYmj0agxPDl_yJgGu1eIremFPVMUuMWUKAjBzvrk/edit?usp=sharing"",""รวมกลาง!N66"")++IMPORTRANGE(""https://docs.google.com/spreadsheets/d/1uenpWDAH2bchvfvsSIjpd4bRU5D1faxJOaE34G"&amp;"QM5-c/edit?usp=sharing"",""รวมใต้!N66"")"),0)</f>
        <v>0</v>
      </c>
      <c r="O66" s="44">
        <f t="shared" ca="1" si="24"/>
        <v>0</v>
      </c>
      <c r="P66" s="369">
        <f t="shared" ca="1" si="25"/>
        <v>0</v>
      </c>
    </row>
    <row r="67" spans="1:16" ht="20.25">
      <c r="A67" s="393"/>
      <c r="B67" s="394"/>
      <c r="C67" s="394"/>
      <c r="D67" s="394"/>
      <c r="E67" s="394" t="s">
        <v>17</v>
      </c>
      <c r="F67" s="394"/>
      <c r="G67" s="99"/>
      <c r="H67" s="100" t="s">
        <v>12</v>
      </c>
      <c r="I67" s="101"/>
      <c r="J67" s="101"/>
      <c r="K67" s="102"/>
      <c r="L67" s="103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+IMPORTRANGE(""https://docs.google.com/spreadsheets/d/1uenpWDAH2bchvfvsSIjpd4bRU5D1faxJOaE34G"&amp;"QM5-c/edit?usp=sharing"",""รวมใต้!L67"")"),0)</f>
        <v>0</v>
      </c>
      <c r="M67" s="103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+IMPORTRANGE(""https://docs.google.com/spreadsheets/d/1uenpWDAH2bchvfvsSIjpd4bRU5D1faxJOaE34G"&amp;"QM5-c/edit?usp=sharing"",""รวมใต้!M67"")"),0)</f>
        <v>0</v>
      </c>
      <c r="N67" s="103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+IMPORTRANGE(""https://docs.google.com/spreadsheets/d/1uenpWDAH2bchvfvsSIjpd4bRU5D1faxJOaE34G"&amp;"QM5-c/edit?usp=sharing"",""รวมใต้!N67"")"),0)</f>
        <v>0</v>
      </c>
      <c r="O67" s="103">
        <f t="shared" ca="1" si="24"/>
        <v>0</v>
      </c>
      <c r="P67" s="395">
        <f t="shared" ca="1" si="25"/>
        <v>0</v>
      </c>
    </row>
    <row r="68" spans="1:16" ht="20.25">
      <c r="A68" s="396" t="s">
        <v>27</v>
      </c>
      <c r="B68" s="104"/>
      <c r="C68" s="104"/>
      <c r="D68" s="104"/>
      <c r="E68" s="105"/>
      <c r="F68" s="105"/>
      <c r="G68" s="105"/>
      <c r="H68" s="105"/>
      <c r="I68" s="106"/>
      <c r="J68" s="106"/>
      <c r="K68" s="107"/>
      <c r="L68" s="107"/>
      <c r="M68" s="107"/>
      <c r="N68" s="107"/>
      <c r="O68" s="107"/>
      <c r="P68" s="397"/>
    </row>
    <row r="69" spans="1:16" ht="20.25">
      <c r="A69" s="398" t="s">
        <v>28</v>
      </c>
      <c r="B69" s="108"/>
      <c r="C69" s="109"/>
      <c r="D69" s="108"/>
      <c r="E69" s="108"/>
      <c r="F69" s="108"/>
      <c r="G69" s="110"/>
      <c r="H69" s="110"/>
      <c r="I69" s="111"/>
      <c r="J69" s="111"/>
      <c r="K69" s="112"/>
      <c r="L69" s="112"/>
      <c r="M69" s="112"/>
      <c r="N69" s="112"/>
      <c r="O69" s="112"/>
      <c r="P69" s="399"/>
    </row>
    <row r="70" spans="1:16" ht="20.25">
      <c r="A70" s="400"/>
      <c r="B70" s="29" t="s">
        <v>29</v>
      </c>
      <c r="C70" s="28"/>
      <c r="D70" s="113"/>
      <c r="E70" s="28"/>
      <c r="F70" s="28"/>
      <c r="G70" s="31"/>
      <c r="H70" s="114" t="s">
        <v>30</v>
      </c>
      <c r="I70" s="115">
        <f t="shared" ref="I70:J70" ca="1" si="30">I82</f>
        <v>13</v>
      </c>
      <c r="J70" s="115">
        <f t="shared" ca="1" si="30"/>
        <v>2</v>
      </c>
      <c r="K70" s="35">
        <f t="shared" ref="K70:K71" ca="1" si="31">IF(I70&gt;0,J70*100/I70,0)</f>
        <v>15.384615384615385</v>
      </c>
      <c r="L70" s="34"/>
      <c r="M70" s="34"/>
      <c r="N70" s="34"/>
      <c r="O70" s="34"/>
      <c r="P70" s="401"/>
    </row>
    <row r="71" spans="1:16" ht="20.25">
      <c r="A71" s="400"/>
      <c r="B71" s="28"/>
      <c r="C71" s="28"/>
      <c r="D71" s="113"/>
      <c r="E71" s="28"/>
      <c r="F71" s="28"/>
      <c r="G71" s="31"/>
      <c r="H71" s="114" t="s">
        <v>31</v>
      </c>
      <c r="I71" s="115">
        <f t="shared" ref="I71:J71" ca="1" si="32">I83</f>
        <v>613</v>
      </c>
      <c r="J71" s="115">
        <f t="shared" ca="1" si="32"/>
        <v>64</v>
      </c>
      <c r="K71" s="35">
        <f t="shared" ca="1" si="31"/>
        <v>10.440456769983687</v>
      </c>
      <c r="L71" s="34"/>
      <c r="M71" s="34"/>
      <c r="N71" s="34"/>
      <c r="O71" s="34"/>
      <c r="P71" s="401"/>
    </row>
    <row r="72" spans="1:16" ht="20.25">
      <c r="A72" s="402"/>
      <c r="B72" s="38"/>
      <c r="C72" s="480" t="s">
        <v>14</v>
      </c>
      <c r="D72" s="116" t="s">
        <v>15</v>
      </c>
      <c r="E72" s="38"/>
      <c r="F72" s="38"/>
      <c r="G72" s="40"/>
      <c r="H72" s="117" t="s">
        <v>12</v>
      </c>
      <c r="I72" s="42"/>
      <c r="J72" s="42"/>
      <c r="K72" s="43"/>
      <c r="L72" s="118">
        <f t="shared" ref="L72:N72" ca="1" si="33">L73+L74</f>
        <v>11456200</v>
      </c>
      <c r="M72" s="118">
        <f t="shared" ca="1" si="33"/>
        <v>8885600</v>
      </c>
      <c r="N72" s="118">
        <f t="shared" ca="1" si="33"/>
        <v>2262783.8799999901</v>
      </c>
      <c r="O72" s="118">
        <f t="shared" ref="O72:O80" ca="1" si="34">IF(L72&gt;0,N72*100/L72,0)</f>
        <v>19.751609434192751</v>
      </c>
      <c r="P72" s="403">
        <f t="shared" ref="P72:P80" ca="1" si="35">IF(M72&gt;0,N72*100/M72,0)</f>
        <v>25.46574097416033</v>
      </c>
    </row>
    <row r="73" spans="1:16" ht="20.25">
      <c r="A73" s="402"/>
      <c r="B73" s="38"/>
      <c r="C73" s="38"/>
      <c r="D73" s="38"/>
      <c r="E73" s="38" t="s">
        <v>16</v>
      </c>
      <c r="F73" s="38"/>
      <c r="G73" s="40"/>
      <c r="H73" s="119" t="s">
        <v>12</v>
      </c>
      <c r="I73" s="42"/>
      <c r="J73" s="42"/>
      <c r="K73" s="43"/>
      <c r="L73" s="44">
        <f t="shared" ref="L73:N73" ca="1" si="36">L76+L79</f>
        <v>4484200</v>
      </c>
      <c r="M73" s="44">
        <f t="shared" ca="1" si="36"/>
        <v>2760700</v>
      </c>
      <c r="N73" s="44">
        <f t="shared" ca="1" si="36"/>
        <v>716791.8</v>
      </c>
      <c r="O73" s="44">
        <f t="shared" ca="1" si="34"/>
        <v>15.98483118504973</v>
      </c>
      <c r="P73" s="369">
        <f t="shared" ca="1" si="35"/>
        <v>25.964132285289963</v>
      </c>
    </row>
    <row r="74" spans="1:16" ht="20.25">
      <c r="A74" s="402"/>
      <c r="B74" s="38"/>
      <c r="C74" s="38"/>
      <c r="D74" s="38"/>
      <c r="E74" s="38" t="s">
        <v>17</v>
      </c>
      <c r="F74" s="38"/>
      <c r="G74" s="40"/>
      <c r="H74" s="119" t="s">
        <v>12</v>
      </c>
      <c r="I74" s="42"/>
      <c r="J74" s="42"/>
      <c r="K74" s="43"/>
      <c r="L74" s="44">
        <f t="shared" ref="L74:N74" ca="1" si="37">L77+L80</f>
        <v>6972000</v>
      </c>
      <c r="M74" s="44">
        <f t="shared" ca="1" si="37"/>
        <v>6124900</v>
      </c>
      <c r="N74" s="44">
        <f t="shared" ca="1" si="37"/>
        <v>1545992.0799999901</v>
      </c>
      <c r="O74" s="44">
        <f t="shared" ca="1" si="34"/>
        <v>22.174298336201808</v>
      </c>
      <c r="P74" s="369">
        <f t="shared" ca="1" si="35"/>
        <v>25.241099119985471</v>
      </c>
    </row>
    <row r="75" spans="1:16" ht="20.25">
      <c r="A75" s="402"/>
      <c r="B75" s="38"/>
      <c r="C75" s="38"/>
      <c r="D75" s="39" t="s">
        <v>18</v>
      </c>
      <c r="E75" s="38"/>
      <c r="F75" s="38"/>
      <c r="G75" s="40"/>
      <c r="H75" s="120" t="s">
        <v>12</v>
      </c>
      <c r="I75" s="121"/>
      <c r="J75" s="121"/>
      <c r="K75" s="122"/>
      <c r="L75" s="44">
        <f t="shared" ref="L75:N75" ca="1" si="38">L76+L77</f>
        <v>11456200</v>
      </c>
      <c r="M75" s="44">
        <f t="shared" ca="1" si="38"/>
        <v>8885600</v>
      </c>
      <c r="N75" s="44">
        <f t="shared" ca="1" si="38"/>
        <v>2262783.8799999901</v>
      </c>
      <c r="O75" s="44">
        <f t="shared" ca="1" si="34"/>
        <v>19.751609434192751</v>
      </c>
      <c r="P75" s="369">
        <f t="shared" ca="1" si="35"/>
        <v>25.46574097416033</v>
      </c>
    </row>
    <row r="76" spans="1:16" ht="20.25">
      <c r="A76" s="402"/>
      <c r="B76" s="38"/>
      <c r="C76" s="38"/>
      <c r="D76" s="38"/>
      <c r="E76" s="38" t="s">
        <v>32</v>
      </c>
      <c r="F76" s="38"/>
      <c r="G76" s="40"/>
      <c r="H76" s="120" t="s">
        <v>12</v>
      </c>
      <c r="I76" s="121"/>
      <c r="J76" s="121"/>
      <c r="K76" s="122"/>
      <c r="L76" s="44">
        <f ca="1">IFERROR(__xludf.DUMMYFUNCTION("IMPORTRANGE(""https://docs.google.com/spreadsheets/d/1-uDff_7J0KD5mKrp0Vvzr7lt3OU09vwQwhkpOPPYv2Y/edit?usp=sharing"",""งบพรบ!AM9"")"),4484200)</f>
        <v>4484200</v>
      </c>
      <c r="M76" s="44">
        <f ca="1">IFERROR(__xludf.DUMMYFUNCTION("IMPORTRANGE(""https://docs.google.com/spreadsheets/d/1-uDff_7J0KD5mKrp0Vvzr7lt3OU09vwQwhkpOPPYv2Y/edit?usp=sharing"",""งบพรบ!AR9"")"),2760700)</f>
        <v>2760700</v>
      </c>
      <c r="N76" s="44">
        <f ca="1">IFERROR(__xludf.DUMMYFUNCTION("IMPORTRANGE(""https://docs.google.com/spreadsheets/d/1-uDff_7J0KD5mKrp0Vvzr7lt3OU09vwQwhkpOPPYv2Y/edit?usp=sharing"",""งบพรบ!AT9"")"),716791.8)</f>
        <v>716791.8</v>
      </c>
      <c r="O76" s="44">
        <f t="shared" ca="1" si="34"/>
        <v>15.98483118504973</v>
      </c>
      <c r="P76" s="369">
        <f t="shared" ca="1" si="35"/>
        <v>25.964132285289963</v>
      </c>
    </row>
    <row r="77" spans="1:16" ht="20.25">
      <c r="A77" s="402"/>
      <c r="B77" s="38"/>
      <c r="C77" s="38"/>
      <c r="D77" s="38"/>
      <c r="E77" s="38" t="s">
        <v>33</v>
      </c>
      <c r="F77" s="38"/>
      <c r="G77" s="40"/>
      <c r="H77" s="120" t="s">
        <v>12</v>
      </c>
      <c r="I77" s="121"/>
      <c r="J77" s="121"/>
      <c r="K77" s="122"/>
      <c r="L77" s="44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+IMPORTRANGE(""https://docs.google.com/spreadsheets/d/1uenpWDAH2bchvfvsSIjpd4bRU5D1faxJOaE34G"&amp;"QM5-c/edit?usp=sharing"",""รวมใต้!L77"")"),6972000)</f>
        <v>6972000</v>
      </c>
      <c r="M77" s="44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+IMPORTRANGE(""https://docs.google.com/spreadsheets/d/1uenpWDAH2bchvfvsSIjpd4bRU5D1faxJOaE34G"&amp;"QM5-c/edit?usp=sharing"",""รวมใต้!M77"")"),6124900)</f>
        <v>6124900</v>
      </c>
      <c r="N77" s="44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+IMPORTRANGE(""https://docs.google.com/spreadsheets/d/1uenpWDAH2bchvfvsSIjpd4bRU5D1faxJOaE34G"&amp;"QM5-c/edit?usp=sharing"",""รวมใต้!N77"")"),1545992.07999999)</f>
        <v>1545992.0799999901</v>
      </c>
      <c r="O77" s="44">
        <f t="shared" ca="1" si="34"/>
        <v>22.174298336201808</v>
      </c>
      <c r="P77" s="369">
        <f t="shared" ca="1" si="35"/>
        <v>25.241099119985471</v>
      </c>
    </row>
    <row r="78" spans="1:16" ht="20.25">
      <c r="A78" s="402"/>
      <c r="B78" s="38"/>
      <c r="C78" s="38"/>
      <c r="D78" s="39" t="s">
        <v>19</v>
      </c>
      <c r="E78" s="38"/>
      <c r="F78" s="38"/>
      <c r="G78" s="40"/>
      <c r="H78" s="123" t="s">
        <v>12</v>
      </c>
      <c r="I78" s="121"/>
      <c r="J78" s="121"/>
      <c r="K78" s="122"/>
      <c r="L78" s="44">
        <f t="shared" ref="L78:N78" ca="1" si="39">L79+L80</f>
        <v>0</v>
      </c>
      <c r="M78" s="44">
        <f t="shared" ca="1" si="39"/>
        <v>0</v>
      </c>
      <c r="N78" s="44">
        <f t="shared" ca="1" si="39"/>
        <v>0</v>
      </c>
      <c r="O78" s="44">
        <f t="shared" ca="1" si="34"/>
        <v>0</v>
      </c>
      <c r="P78" s="369">
        <f t="shared" ca="1" si="35"/>
        <v>0</v>
      </c>
    </row>
    <row r="79" spans="1:16" ht="20.25">
      <c r="A79" s="402"/>
      <c r="B79" s="38"/>
      <c r="C79" s="38"/>
      <c r="D79" s="38"/>
      <c r="E79" s="38" t="s">
        <v>16</v>
      </c>
      <c r="F79" s="38"/>
      <c r="G79" s="40"/>
      <c r="H79" s="120" t="s">
        <v>12</v>
      </c>
      <c r="I79" s="121"/>
      <c r="J79" s="121"/>
      <c r="K79" s="122"/>
      <c r="L79" s="44">
        <f ca="1">IFERROR(__xludf.DUMMYFUNCTION("IMPORTRANGE(""https://docs.google.com/spreadsheets/d/12pGRKgvn2b31Uz_fjAl3XPzZUM_F2_O-zAHL2XHEPZg/edit?usp=sharing"",""รวมเหนือ!L79"")+IMPORTRANGE(""https://docs.google.com/spreadsheets/d/1c0UfJUA6nE6esVMy0kRcX_PENtt96DMxicQpqi3tips/edit?usp=sharing"",""ร"&amp;"วมตะวันออกเฉียงเหนือ!L79"")+IMPORTRANGE(""https://docs.google.com/spreadsheets/d/1iNWbYmj0agxPDl_yJgGu1eIremFPVMUuMWUKAjBzvrk/edit?usp=sharing"",""รวมกลาง!L79"")++IMPORTRANGE(""https://docs.google.com/spreadsheets/d/1uenpWDAH2bchvfvsSIjpd4bRU5D1faxJOaE34G"&amp;"QM5-c/edit?usp=sharing"",""รวมใต้!L79"")"),0)</f>
        <v>0</v>
      </c>
      <c r="M79" s="44">
        <f ca="1">IFERROR(__xludf.DUMMYFUNCTION("IMPORTRANGE(""https://docs.google.com/spreadsheets/d/12pGRKgvn2b31Uz_fjAl3XPzZUM_F2_O-zAHL2XHEPZg/edit?usp=sharing"",""รวมเหนือ!M79"")+IMPORTRANGE(""https://docs.google.com/spreadsheets/d/1c0UfJUA6nE6esVMy0kRcX_PENtt96DMxicQpqi3tips/edit?usp=sharing"",""ร"&amp;"วมตะวันออกเฉียงเหนือ!M79"")+IMPORTRANGE(""https://docs.google.com/spreadsheets/d/1iNWbYmj0agxPDl_yJgGu1eIremFPVMUuMWUKAjBzvrk/edit?usp=sharing"",""รวมกลาง!M79"")++IMPORTRANGE(""https://docs.google.com/spreadsheets/d/1uenpWDAH2bchvfvsSIjpd4bRU5D1faxJOaE34G"&amp;"QM5-c/edit?usp=sharing"",""รวมใต้!M79"")"),0)</f>
        <v>0</v>
      </c>
      <c r="N79" s="44">
        <f ca="1">IFERROR(__xludf.DUMMYFUNCTION("IMPORTRANGE(""https://docs.google.com/spreadsheets/d/12pGRKgvn2b31Uz_fjAl3XPzZUM_F2_O-zAHL2XHEPZg/edit?usp=sharing"",""รวมเหนือ!N79"")+IMPORTRANGE(""https://docs.google.com/spreadsheets/d/1c0UfJUA6nE6esVMy0kRcX_PENtt96DMxicQpqi3tips/edit?usp=sharing"",""ร"&amp;"วมตะวันออกเฉียงเหนือ!N79"")+IMPORTRANGE(""https://docs.google.com/spreadsheets/d/1iNWbYmj0agxPDl_yJgGu1eIremFPVMUuMWUKAjBzvrk/edit?usp=sharing"",""รวมกลาง!N79"")++IMPORTRANGE(""https://docs.google.com/spreadsheets/d/1uenpWDAH2bchvfvsSIjpd4bRU5D1faxJOaE34G"&amp;"QM5-c/edit?usp=sharing"",""รวมใต้!N79"")"),0)</f>
        <v>0</v>
      </c>
      <c r="O79" s="44">
        <f t="shared" ca="1" si="34"/>
        <v>0</v>
      </c>
      <c r="P79" s="369">
        <f t="shared" ca="1" si="35"/>
        <v>0</v>
      </c>
    </row>
    <row r="80" spans="1:16" ht="20.25">
      <c r="A80" s="402"/>
      <c r="B80" s="38"/>
      <c r="C80" s="38"/>
      <c r="D80" s="38"/>
      <c r="E80" s="38" t="s">
        <v>17</v>
      </c>
      <c r="F80" s="38"/>
      <c r="G80" s="40"/>
      <c r="H80" s="123" t="s">
        <v>12</v>
      </c>
      <c r="I80" s="121"/>
      <c r="J80" s="121"/>
      <c r="K80" s="122"/>
      <c r="L80" s="44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+IMPORTRANGE(""https://docs.google.com/spreadsheets/d/1uenpWDAH2bchvfvsSIjpd4bRU5D1faxJOaE34G"&amp;"QM5-c/edit?usp=sharing"",""รวมใต้!L80"")"),0)</f>
        <v>0</v>
      </c>
      <c r="M80" s="44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+IMPORTRANGE(""https://docs.google.com/spreadsheets/d/1uenpWDAH2bchvfvsSIjpd4bRU5D1faxJOaE34G"&amp;"QM5-c/edit?usp=sharing"",""รวมใต้!M80"")"),0)</f>
        <v>0</v>
      </c>
      <c r="N80" s="44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+IMPORTRANGE(""https://docs.google.com/spreadsheets/d/1uenpWDAH2bchvfvsSIjpd4bRU5D1faxJOaE34G"&amp;"QM5-c/edit?usp=sharing"",""รวมใต้!N80"")"),0)</f>
        <v>0</v>
      </c>
      <c r="O80" s="44">
        <f t="shared" ca="1" si="34"/>
        <v>0</v>
      </c>
      <c r="P80" s="369">
        <f t="shared" ca="1" si="35"/>
        <v>0</v>
      </c>
    </row>
    <row r="81" spans="1:16" ht="20.25">
      <c r="A81" s="404"/>
      <c r="B81" s="124"/>
      <c r="C81" s="480" t="s">
        <v>14</v>
      </c>
      <c r="D81" s="125" t="s">
        <v>34</v>
      </c>
      <c r="E81" s="126"/>
      <c r="F81" s="126"/>
      <c r="G81" s="127"/>
      <c r="H81" s="128"/>
      <c r="I81" s="121"/>
      <c r="J81" s="121"/>
      <c r="K81" s="122"/>
      <c r="L81" s="122"/>
      <c r="M81" s="122"/>
      <c r="N81" s="122"/>
      <c r="O81" s="122"/>
      <c r="P81" s="405"/>
    </row>
    <row r="82" spans="1:16" ht="20.25">
      <c r="A82" s="404"/>
      <c r="B82" s="124"/>
      <c r="C82" s="124"/>
      <c r="D82" s="129" t="s">
        <v>35</v>
      </c>
      <c r="E82" s="130"/>
      <c r="F82" s="130"/>
      <c r="G82" s="128"/>
      <c r="H82" s="131" t="s">
        <v>30</v>
      </c>
      <c r="I82" s="132">
        <f t="shared" ref="I82:J82" ca="1" si="40">I84+I86+I88</f>
        <v>13</v>
      </c>
      <c r="J82" s="132">
        <f t="shared" ca="1" si="40"/>
        <v>2</v>
      </c>
      <c r="K82" s="133">
        <f t="shared" ref="K82:K90" ca="1" si="41">IF(I82&gt;0,J82*100/I82,0)</f>
        <v>15.384615384615385</v>
      </c>
      <c r="L82" s="122"/>
      <c r="M82" s="122"/>
      <c r="N82" s="122"/>
      <c r="O82" s="122"/>
      <c r="P82" s="405"/>
    </row>
    <row r="83" spans="1:16" ht="20.25">
      <c r="A83" s="404"/>
      <c r="B83" s="124"/>
      <c r="C83" s="124"/>
      <c r="D83" s="124"/>
      <c r="E83" s="130"/>
      <c r="F83" s="130"/>
      <c r="G83" s="128"/>
      <c r="H83" s="131" t="s">
        <v>31</v>
      </c>
      <c r="I83" s="132">
        <f t="shared" ref="I83:J83" ca="1" si="42">I85+I87+I89</f>
        <v>613</v>
      </c>
      <c r="J83" s="132">
        <f t="shared" ca="1" si="42"/>
        <v>64</v>
      </c>
      <c r="K83" s="133">
        <f t="shared" ca="1" si="41"/>
        <v>10.440456769983687</v>
      </c>
      <c r="L83" s="122"/>
      <c r="M83" s="122"/>
      <c r="N83" s="122"/>
      <c r="O83" s="122"/>
      <c r="P83" s="405"/>
    </row>
    <row r="84" spans="1:16" ht="20.25">
      <c r="A84" s="404"/>
      <c r="B84" s="124"/>
      <c r="C84" s="124"/>
      <c r="D84" s="124"/>
      <c r="E84" s="130" t="s">
        <v>36</v>
      </c>
      <c r="F84" s="130"/>
      <c r="G84" s="128"/>
      <c r="H84" s="134" t="s">
        <v>30</v>
      </c>
      <c r="I84" s="135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+IMPORTRANGE(""https://docs.google.com/spreadsheets/d/1uenpWDAH2bchvfvsSIjpd4bRU5D1faxJOaE34G"&amp;"QM5-c/edit?usp=sharing"",""รวมใต้!I84"")"),0)</f>
        <v>0</v>
      </c>
      <c r="J84" s="135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+IMPORTRANGE(""https://docs.google.com/spreadsheets/d/1uenpWDAH2bchvfvsSIjpd4bRU5D1faxJOaE34G"&amp;"QM5-c/edit?usp=sharing"",""รวมใต้!J84"")"),0)</f>
        <v>0</v>
      </c>
      <c r="K84" s="136">
        <f t="shared" ca="1" si="41"/>
        <v>0</v>
      </c>
      <c r="L84" s="122"/>
      <c r="M84" s="122"/>
      <c r="N84" s="122"/>
      <c r="O84" s="122"/>
      <c r="P84" s="405"/>
    </row>
    <row r="85" spans="1:16" ht="20.25">
      <c r="A85" s="404"/>
      <c r="B85" s="124"/>
      <c r="C85" s="124"/>
      <c r="D85" s="124"/>
      <c r="E85" s="130"/>
      <c r="F85" s="130"/>
      <c r="G85" s="128"/>
      <c r="H85" s="134" t="s">
        <v>31</v>
      </c>
      <c r="I85" s="135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+IMPORTRANGE(""https://docs.google.com/spreadsheets/d/1uenpWDAH2bchvfvsSIjpd4bRU5D1faxJOaE34G"&amp;"QM5-c/edit?usp=sharing"",""รวมใต้!I85"")"),0)</f>
        <v>0</v>
      </c>
      <c r="J85" s="135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+IMPORTRANGE(""https://docs.google.com/spreadsheets/d/1uenpWDAH2bchvfvsSIjpd4bRU5D1faxJOaE34G"&amp;"QM5-c/edit?usp=sharing"",""รวมใต้!J85"")"),0)</f>
        <v>0</v>
      </c>
      <c r="K85" s="136">
        <f t="shared" ca="1" si="41"/>
        <v>0</v>
      </c>
      <c r="L85" s="122"/>
      <c r="M85" s="122"/>
      <c r="N85" s="122"/>
      <c r="O85" s="122"/>
      <c r="P85" s="405"/>
    </row>
    <row r="86" spans="1:16" ht="20.25">
      <c r="A86" s="404"/>
      <c r="B86" s="124"/>
      <c r="C86" s="124"/>
      <c r="D86" s="124"/>
      <c r="E86" s="130" t="s">
        <v>37</v>
      </c>
      <c r="F86" s="130"/>
      <c r="G86" s="128"/>
      <c r="H86" s="134" t="s">
        <v>30</v>
      </c>
      <c r="I86" s="135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+IMPORTRANGE(""https://docs.google.com/spreadsheets/d/1uenpWDAH2bchvfvsSIjpd4bRU5D1faxJOaE34G"&amp;"QM5-c/edit?usp=sharing"",""รวมใต้!I86"")"),0)</f>
        <v>0</v>
      </c>
      <c r="J86" s="135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+IMPORTRANGE(""https://docs.google.com/spreadsheets/d/1uenpWDAH2bchvfvsSIjpd4bRU5D1faxJOaE34G"&amp;"QM5-c/edit?usp=sharing"",""รวมใต้!J86"")"),0)</f>
        <v>0</v>
      </c>
      <c r="K86" s="136">
        <f t="shared" ca="1" si="41"/>
        <v>0</v>
      </c>
      <c r="L86" s="122"/>
      <c r="M86" s="122"/>
      <c r="N86" s="122"/>
      <c r="O86" s="122"/>
      <c r="P86" s="405"/>
    </row>
    <row r="87" spans="1:16" ht="20.25">
      <c r="A87" s="404"/>
      <c r="B87" s="124"/>
      <c r="C87" s="124"/>
      <c r="D87" s="124"/>
      <c r="E87" s="130"/>
      <c r="F87" s="130"/>
      <c r="G87" s="128"/>
      <c r="H87" s="134" t="s">
        <v>31</v>
      </c>
      <c r="I87" s="135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+IMPORTRANGE(""https://docs.google.com/spreadsheets/d/1uenpWDAH2bchvfvsSIjpd4bRU5D1faxJOaE34G"&amp;"QM5-c/edit?usp=sharing"",""รวมใต้!I87"")"),0)</f>
        <v>0</v>
      </c>
      <c r="J87" s="135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+IMPORTRANGE(""https://docs.google.com/spreadsheets/d/1uenpWDAH2bchvfvsSIjpd4bRU5D1faxJOaE34G"&amp;"QM5-c/edit?usp=sharing"",""รวมใต้!J87"")"),0)</f>
        <v>0</v>
      </c>
      <c r="K87" s="136">
        <f t="shared" ca="1" si="41"/>
        <v>0</v>
      </c>
      <c r="L87" s="122"/>
      <c r="M87" s="122"/>
      <c r="N87" s="122"/>
      <c r="O87" s="122"/>
      <c r="P87" s="405"/>
    </row>
    <row r="88" spans="1:16" ht="20.25">
      <c r="A88" s="404"/>
      <c r="B88" s="124"/>
      <c r="C88" s="124"/>
      <c r="D88" s="124"/>
      <c r="E88" s="130" t="s">
        <v>38</v>
      </c>
      <c r="F88" s="130"/>
      <c r="G88" s="128"/>
      <c r="H88" s="134" t="s">
        <v>30</v>
      </c>
      <c r="I88" s="135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+IMPORTRANGE(""https://docs.google.com/spreadsheets/d/1uenpWDAH2bchvfvsSIjpd4bRU5D1faxJOaE34G"&amp;"QM5-c/edit?usp=sharing"",""รวมใต้!I88"")"),13)</f>
        <v>13</v>
      </c>
      <c r="J88" s="135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+IMPORTRANGE(""https://docs.google.com/spreadsheets/d/1uenpWDAH2bchvfvsSIjpd4bRU5D1faxJOaE34G"&amp;"QM5-c/edit?usp=sharing"",""รวมใต้!J88"")"),2)</f>
        <v>2</v>
      </c>
      <c r="K88" s="136">
        <f t="shared" ca="1" si="41"/>
        <v>15.384615384615385</v>
      </c>
      <c r="L88" s="122"/>
      <c r="M88" s="122"/>
      <c r="N88" s="122"/>
      <c r="O88" s="122"/>
      <c r="P88" s="405"/>
    </row>
    <row r="89" spans="1:16" ht="20.25">
      <c r="A89" s="404"/>
      <c r="B89" s="124"/>
      <c r="C89" s="124"/>
      <c r="D89" s="124"/>
      <c r="E89" s="130"/>
      <c r="F89" s="130"/>
      <c r="G89" s="128"/>
      <c r="H89" s="134" t="s">
        <v>31</v>
      </c>
      <c r="I89" s="135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+IMPORTRANGE(""https://docs.google.com/spreadsheets/d/1uenpWDAH2bchvfvsSIjpd4bRU5D1faxJOaE34G"&amp;"QM5-c/edit?usp=sharing"",""รวมใต้!I89"")"),613)</f>
        <v>613</v>
      </c>
      <c r="J89" s="135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+IMPORTRANGE(""https://docs.google.com/spreadsheets/d/1uenpWDAH2bchvfvsSIjpd4bRU5D1faxJOaE34G"&amp;"QM5-c/edit?usp=sharing"",""รวมใต้!J89"")"),64)</f>
        <v>64</v>
      </c>
      <c r="K89" s="136">
        <f t="shared" ca="1" si="41"/>
        <v>10.440456769983687</v>
      </c>
      <c r="L89" s="122"/>
      <c r="M89" s="122"/>
      <c r="N89" s="122"/>
      <c r="O89" s="122"/>
      <c r="P89" s="405"/>
    </row>
    <row r="90" spans="1:16" ht="20.25">
      <c r="A90" s="404"/>
      <c r="B90" s="124"/>
      <c r="C90" s="124"/>
      <c r="D90" s="129" t="s">
        <v>39</v>
      </c>
      <c r="E90" s="130"/>
      <c r="F90" s="130"/>
      <c r="G90" s="128"/>
      <c r="H90" s="137" t="s">
        <v>30</v>
      </c>
      <c r="I90" s="135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+IMPORTRANGE(""https://docs.google.com/spreadsheets/d/1uenpWDAH2bchvfvsSIjpd4bRU5D1faxJOaE34G"&amp;"QM5-c/edit?usp=sharing"",""รวมใต้!I90"")"),13)</f>
        <v>13</v>
      </c>
      <c r="J90" s="135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+IMPORTRANGE(""https://docs.google.com/spreadsheets/d/1uenpWDAH2bchvfvsSIjpd4bRU5D1faxJOaE34G"&amp;"QM5-c/edit?usp=sharing"",""รวมใต้!J90"")"),1)</f>
        <v>1</v>
      </c>
      <c r="K90" s="136">
        <f t="shared" ca="1" si="41"/>
        <v>7.6923076923076925</v>
      </c>
      <c r="L90" s="122"/>
      <c r="M90" s="122"/>
      <c r="N90" s="122"/>
      <c r="O90" s="122"/>
      <c r="P90" s="405"/>
    </row>
    <row r="91" spans="1:16" ht="20.25">
      <c r="A91" s="398" t="s">
        <v>40</v>
      </c>
      <c r="B91" s="108"/>
      <c r="C91" s="109"/>
      <c r="D91" s="108"/>
      <c r="E91" s="108"/>
      <c r="F91" s="108"/>
      <c r="G91" s="110"/>
      <c r="H91" s="110"/>
      <c r="I91" s="111"/>
      <c r="J91" s="111"/>
      <c r="K91" s="112"/>
      <c r="L91" s="112"/>
      <c r="M91" s="112"/>
      <c r="N91" s="112"/>
      <c r="O91" s="112"/>
      <c r="P91" s="399"/>
    </row>
    <row r="92" spans="1:16" ht="20.25">
      <c r="A92" s="400"/>
      <c r="B92" s="29" t="s">
        <v>41</v>
      </c>
      <c r="C92" s="28"/>
      <c r="D92" s="113"/>
      <c r="E92" s="28"/>
      <c r="F92" s="28"/>
      <c r="G92" s="31"/>
      <c r="H92" s="114" t="s">
        <v>42</v>
      </c>
      <c r="I92" s="115">
        <f t="shared" ref="I92:J92" ca="1" si="43">I108</f>
        <v>372</v>
      </c>
      <c r="J92" s="115">
        <f t="shared" ca="1" si="43"/>
        <v>0</v>
      </c>
      <c r="K92" s="35">
        <f t="shared" ref="K92:K93" ca="1" si="44">IF(I92&gt;0,J92*100/I92,0)</f>
        <v>0</v>
      </c>
      <c r="L92" s="34"/>
      <c r="M92" s="34"/>
      <c r="N92" s="34"/>
      <c r="O92" s="34"/>
      <c r="P92" s="401"/>
    </row>
    <row r="93" spans="1:16" ht="20.25">
      <c r="A93" s="400"/>
      <c r="B93" s="28"/>
      <c r="C93" s="28"/>
      <c r="D93" s="113"/>
      <c r="E93" s="28"/>
      <c r="F93" s="28"/>
      <c r="G93" s="31"/>
      <c r="H93" s="114" t="s">
        <v>31</v>
      </c>
      <c r="I93" s="115">
        <f t="shared" ref="I93:J93" ca="1" si="45">I109</f>
        <v>124</v>
      </c>
      <c r="J93" s="115">
        <f t="shared" ca="1" si="45"/>
        <v>0</v>
      </c>
      <c r="K93" s="35">
        <f t="shared" ca="1" si="44"/>
        <v>0</v>
      </c>
      <c r="L93" s="34"/>
      <c r="M93" s="34"/>
      <c r="N93" s="34"/>
      <c r="O93" s="34"/>
      <c r="P93" s="401"/>
    </row>
    <row r="94" spans="1:16" ht="20.25">
      <c r="A94" s="402"/>
      <c r="B94" s="38"/>
      <c r="C94" s="480" t="s">
        <v>14</v>
      </c>
      <c r="D94" s="116" t="s">
        <v>15</v>
      </c>
      <c r="E94" s="38"/>
      <c r="F94" s="38"/>
      <c r="G94" s="40"/>
      <c r="H94" s="117" t="s">
        <v>12</v>
      </c>
      <c r="I94" s="42"/>
      <c r="J94" s="42"/>
      <c r="K94" s="43"/>
      <c r="L94" s="118">
        <f t="shared" ref="L94:N94" ca="1" si="46">L95+L96</f>
        <v>1756000</v>
      </c>
      <c r="M94" s="118">
        <f t="shared" ca="1" si="46"/>
        <v>1437600</v>
      </c>
      <c r="N94" s="118">
        <f t="shared" ca="1" si="46"/>
        <v>385826.31</v>
      </c>
      <c r="O94" s="118">
        <f t="shared" ref="O94:O102" ca="1" si="47">IF(L94&gt;0,N94*100/L94,0)</f>
        <v>21.971885535307518</v>
      </c>
      <c r="P94" s="403">
        <f t="shared" ref="P94:P102" ca="1" si="48">IF(M94&gt;0,N94*100/M94,0)</f>
        <v>26.838224123539231</v>
      </c>
    </row>
    <row r="95" spans="1:16" ht="20.25">
      <c r="A95" s="402"/>
      <c r="B95" s="38"/>
      <c r="C95" s="38"/>
      <c r="D95" s="38"/>
      <c r="E95" s="38" t="s">
        <v>16</v>
      </c>
      <c r="F95" s="38"/>
      <c r="G95" s="40"/>
      <c r="H95" s="119" t="s">
        <v>12</v>
      </c>
      <c r="I95" s="42"/>
      <c r="J95" s="42"/>
      <c r="K95" s="43"/>
      <c r="L95" s="44">
        <f t="shared" ref="L95:N95" ca="1" si="49">L98+L101</f>
        <v>717100</v>
      </c>
      <c r="M95" s="44">
        <f t="shared" ca="1" si="49"/>
        <v>538100</v>
      </c>
      <c r="N95" s="44">
        <f t="shared" ca="1" si="49"/>
        <v>161612.81</v>
      </c>
      <c r="O95" s="44">
        <f t="shared" ca="1" si="47"/>
        <v>22.536997629340398</v>
      </c>
      <c r="P95" s="369">
        <f t="shared" ca="1" si="48"/>
        <v>30.033973239174873</v>
      </c>
    </row>
    <row r="96" spans="1:16" ht="20.25">
      <c r="A96" s="402"/>
      <c r="B96" s="38"/>
      <c r="C96" s="38"/>
      <c r="D96" s="38"/>
      <c r="E96" s="38" t="s">
        <v>17</v>
      </c>
      <c r="F96" s="38"/>
      <c r="G96" s="40"/>
      <c r="H96" s="119" t="s">
        <v>12</v>
      </c>
      <c r="I96" s="42"/>
      <c r="J96" s="42"/>
      <c r="K96" s="43"/>
      <c r="L96" s="44">
        <f t="shared" ref="L96:N96" ca="1" si="50">L99+L102</f>
        <v>1038900</v>
      </c>
      <c r="M96" s="44">
        <f t="shared" ca="1" si="50"/>
        <v>899500</v>
      </c>
      <c r="N96" s="44">
        <f t="shared" ca="1" si="50"/>
        <v>224213.5</v>
      </c>
      <c r="O96" s="44">
        <f t="shared" ca="1" si="47"/>
        <v>21.581817306766773</v>
      </c>
      <c r="P96" s="369">
        <f t="shared" ca="1" si="48"/>
        <v>24.92645914396887</v>
      </c>
    </row>
    <row r="97" spans="1:16" ht="20.25">
      <c r="A97" s="402"/>
      <c r="B97" s="38"/>
      <c r="C97" s="38"/>
      <c r="D97" s="39" t="s">
        <v>18</v>
      </c>
      <c r="E97" s="38"/>
      <c r="F97" s="38"/>
      <c r="G97" s="40"/>
      <c r="H97" s="120" t="s">
        <v>12</v>
      </c>
      <c r="I97" s="121"/>
      <c r="J97" s="121"/>
      <c r="K97" s="122"/>
      <c r="L97" s="44">
        <f t="shared" ref="L97:N97" ca="1" si="51">L98+L99</f>
        <v>1756000</v>
      </c>
      <c r="M97" s="44">
        <f t="shared" ca="1" si="51"/>
        <v>1437600</v>
      </c>
      <c r="N97" s="44">
        <f t="shared" ca="1" si="51"/>
        <v>385826.31</v>
      </c>
      <c r="O97" s="44">
        <f t="shared" ca="1" si="47"/>
        <v>21.971885535307518</v>
      </c>
      <c r="P97" s="369">
        <f t="shared" ca="1" si="48"/>
        <v>26.838224123539231</v>
      </c>
    </row>
    <row r="98" spans="1:16" ht="20.25">
      <c r="A98" s="402"/>
      <c r="B98" s="38"/>
      <c r="C98" s="38"/>
      <c r="D98" s="38"/>
      <c r="E98" s="38" t="s">
        <v>32</v>
      </c>
      <c r="F98" s="38"/>
      <c r="G98" s="40"/>
      <c r="H98" s="120" t="s">
        <v>12</v>
      </c>
      <c r="I98" s="121"/>
      <c r="J98" s="121"/>
      <c r="K98" s="122"/>
      <c r="L98" s="44">
        <f ca="1">IFERROR(__xludf.DUMMYFUNCTION("IMPORTRANGE(""https://docs.google.com/spreadsheets/d/1-uDff_7J0KD5mKrp0Vvzr7lt3OU09vwQwhkpOPPYv2Y/edit?usp=sharing"",""งบพรบ!AW9"")"),717100)</f>
        <v>717100</v>
      </c>
      <c r="M98" s="44">
        <f ca="1">IFERROR(__xludf.DUMMYFUNCTION("IMPORTRANGE(""https://docs.google.com/spreadsheets/d/1-uDff_7J0KD5mKrp0Vvzr7lt3OU09vwQwhkpOPPYv2Y/edit?usp=sharing"",""งบพรบ!BB9"")"),538100)</f>
        <v>538100</v>
      </c>
      <c r="N98" s="44">
        <f ca="1">IFERROR(__xludf.DUMMYFUNCTION("IMPORTRANGE(""https://docs.google.com/spreadsheets/d/1-uDff_7J0KD5mKrp0Vvzr7lt3OU09vwQwhkpOPPYv2Y/edit?usp=sharing"",""งบพรบ!BD9"")"),161612.81)</f>
        <v>161612.81</v>
      </c>
      <c r="O98" s="44">
        <f t="shared" ca="1" si="47"/>
        <v>22.536997629340398</v>
      </c>
      <c r="P98" s="369">
        <f t="shared" ca="1" si="48"/>
        <v>30.033973239174873</v>
      </c>
    </row>
    <row r="99" spans="1:16" ht="20.25">
      <c r="A99" s="402"/>
      <c r="B99" s="38"/>
      <c r="C99" s="38"/>
      <c r="D99" s="38"/>
      <c r="E99" s="38" t="s">
        <v>33</v>
      </c>
      <c r="F99" s="38"/>
      <c r="G99" s="40"/>
      <c r="H99" s="120" t="s">
        <v>12</v>
      </c>
      <c r="I99" s="121"/>
      <c r="J99" s="121"/>
      <c r="K99" s="122"/>
      <c r="L99" s="44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+IMPORTRANGE(""https://docs.google.com/spreadsheets/d/1uenpWDAH2bchvfvsSIjpd4bRU5D1faxJOaE34G"&amp;"QM5-c/edit?usp=sharing"",""รวมใต้!L99"")"),1038900)</f>
        <v>1038900</v>
      </c>
      <c r="M99" s="44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+IMPORTRANGE(""https://docs.google.com/spreadsheets/d/1uenpWDAH2bchvfvsSIjpd4bRU5D1faxJOaE34G"&amp;"QM5-c/edit?usp=sharing"",""รวมใต้!M99"")"),899500)</f>
        <v>899500</v>
      </c>
      <c r="N99" s="44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+IMPORTRANGE(""https://docs.google.com/spreadsheets/d/1uenpWDAH2bchvfvsSIjpd4bRU5D1faxJOaE34G"&amp;"QM5-c/edit?usp=sharing"",""รวมใต้!N99"")"),224213.5)</f>
        <v>224213.5</v>
      </c>
      <c r="O99" s="44">
        <f t="shared" ca="1" si="47"/>
        <v>21.581817306766773</v>
      </c>
      <c r="P99" s="369">
        <f t="shared" ca="1" si="48"/>
        <v>24.92645914396887</v>
      </c>
    </row>
    <row r="100" spans="1:16" ht="20.25">
      <c r="A100" s="402"/>
      <c r="B100" s="38"/>
      <c r="C100" s="38"/>
      <c r="D100" s="39" t="s">
        <v>19</v>
      </c>
      <c r="E100" s="38"/>
      <c r="F100" s="38"/>
      <c r="G100" s="40"/>
      <c r="H100" s="123" t="s">
        <v>12</v>
      </c>
      <c r="I100" s="121"/>
      <c r="J100" s="121"/>
      <c r="K100" s="122"/>
      <c r="L100" s="44">
        <f t="shared" ref="L100:N100" ca="1" si="52">L101+L102</f>
        <v>0</v>
      </c>
      <c r="M100" s="44">
        <f t="shared" ca="1" si="52"/>
        <v>0</v>
      </c>
      <c r="N100" s="44">
        <f t="shared" ca="1" si="52"/>
        <v>0</v>
      </c>
      <c r="O100" s="44">
        <f t="shared" ca="1" si="47"/>
        <v>0</v>
      </c>
      <c r="P100" s="369">
        <f t="shared" ca="1" si="48"/>
        <v>0</v>
      </c>
    </row>
    <row r="101" spans="1:16" ht="20.25">
      <c r="A101" s="402"/>
      <c r="B101" s="38"/>
      <c r="C101" s="38"/>
      <c r="D101" s="38"/>
      <c r="E101" s="38" t="s">
        <v>16</v>
      </c>
      <c r="F101" s="38"/>
      <c r="G101" s="40"/>
      <c r="H101" s="120" t="s">
        <v>12</v>
      </c>
      <c r="I101" s="121"/>
      <c r="J101" s="121"/>
      <c r="K101" s="122"/>
      <c r="L101" s="44">
        <f ca="1">IFERROR(__xludf.DUMMYFUNCTION("IMPORTRANGE(""https://docs.google.com/spreadsheets/d/12pGRKgvn2b31Uz_fjAl3XPzZUM_F2_O-zAHL2XHEPZg/edit?usp=sharing"",""รวมเหนือ!L101"")+IMPORTRANGE(""https://docs.google.com/spreadsheets/d/1c0UfJUA6nE6esVMy0kRcX_PENtt96DMxicQpqi3tips/edit?usp=sharing"","""&amp;"รวมตะวันออกเฉียงเหนือ!L101"")+IMPORTRANGE(""https://docs.google.com/spreadsheets/d/1iNWbYmj0agxPDl_yJgGu1eIremFPVMUuMWUKAjBzvrk/edit?usp=sharing"",""รวมกลาง!L101"")++IMPORTRANGE(""https://docs.google.com/spreadsheets/d/1uenpWDAH2bchvfvsSIjpd4bRU5D1faxJOaE"&amp;"34GQM5-c/edit?usp=sharing"",""รวมใต้!L101"")"),0)</f>
        <v>0</v>
      </c>
      <c r="M101" s="44">
        <f ca="1">IFERROR(__xludf.DUMMYFUNCTION("IMPORTRANGE(""https://docs.google.com/spreadsheets/d/12pGRKgvn2b31Uz_fjAl3XPzZUM_F2_O-zAHL2XHEPZg/edit?usp=sharing"",""รวมเหนือ!M101"")+IMPORTRANGE(""https://docs.google.com/spreadsheets/d/1c0UfJUA6nE6esVMy0kRcX_PENtt96DMxicQpqi3tips/edit?usp=sharing"","""&amp;"รวมตะวันออกเฉียงเหนือ!M101"")+IMPORTRANGE(""https://docs.google.com/spreadsheets/d/1iNWbYmj0agxPDl_yJgGu1eIremFPVMUuMWUKAjBzvrk/edit?usp=sharing"",""รวมกลาง!M101"")++IMPORTRANGE(""https://docs.google.com/spreadsheets/d/1uenpWDAH2bchvfvsSIjpd4bRU5D1faxJOaE"&amp;"34GQM5-c/edit?usp=sharing"",""รวมใต้!M101"")"),0)</f>
        <v>0</v>
      </c>
      <c r="N101" s="44">
        <f ca="1">IFERROR(__xludf.DUMMYFUNCTION("IMPORTRANGE(""https://docs.google.com/spreadsheets/d/12pGRKgvn2b31Uz_fjAl3XPzZUM_F2_O-zAHL2XHEPZg/edit?usp=sharing"",""รวมเหนือ!N101"")+IMPORTRANGE(""https://docs.google.com/spreadsheets/d/1c0UfJUA6nE6esVMy0kRcX_PENtt96DMxicQpqi3tips/edit?usp=sharing"","""&amp;"รวมตะวันออกเฉียงเหนือ!N101"")+IMPORTRANGE(""https://docs.google.com/spreadsheets/d/1iNWbYmj0agxPDl_yJgGu1eIremFPVMUuMWUKAjBzvrk/edit?usp=sharing"",""รวมกลาง!N101"")++IMPORTRANGE(""https://docs.google.com/spreadsheets/d/1uenpWDAH2bchvfvsSIjpd4bRU5D1faxJOaE"&amp;"34GQM5-c/edit?usp=sharing"",""รวมใต้!N101"")"),0)</f>
        <v>0</v>
      </c>
      <c r="O101" s="44">
        <f t="shared" ca="1" si="47"/>
        <v>0</v>
      </c>
      <c r="P101" s="369">
        <f t="shared" ca="1" si="48"/>
        <v>0</v>
      </c>
    </row>
    <row r="102" spans="1:16" ht="20.25">
      <c r="A102" s="402"/>
      <c r="B102" s="38"/>
      <c r="C102" s="38"/>
      <c r="D102" s="38"/>
      <c r="E102" s="38" t="s">
        <v>17</v>
      </c>
      <c r="F102" s="38"/>
      <c r="G102" s="40"/>
      <c r="H102" s="123" t="s">
        <v>12</v>
      </c>
      <c r="I102" s="121"/>
      <c r="J102" s="121"/>
      <c r="K102" s="122"/>
      <c r="L102" s="44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+IMPORTRANGE(""https://docs.google.com/spreadsheets/d/1uenpWDAH2bchvfvsSIjpd4bRU5D1faxJOaE"&amp;"34GQM5-c/edit?usp=sharing"",""รวมใต้!L102"")"),0)</f>
        <v>0</v>
      </c>
      <c r="M102" s="44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+IMPORTRANGE(""https://docs.google.com/spreadsheets/d/1uenpWDAH2bchvfvsSIjpd4bRU5D1faxJOaE"&amp;"34GQM5-c/edit?usp=sharing"",""รวมใต้!M102"")"),0)</f>
        <v>0</v>
      </c>
      <c r="N102" s="44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+IMPORTRANGE(""https://docs.google.com/spreadsheets/d/1uenpWDAH2bchvfvsSIjpd4bRU5D1faxJOaE"&amp;"34GQM5-c/edit?usp=sharing"",""รวมใต้!N102"")"),0)</f>
        <v>0</v>
      </c>
      <c r="O102" s="44">
        <f t="shared" ca="1" si="47"/>
        <v>0</v>
      </c>
      <c r="P102" s="369">
        <f t="shared" ca="1" si="48"/>
        <v>0</v>
      </c>
    </row>
    <row r="103" spans="1:16" ht="20.25">
      <c r="A103" s="404"/>
      <c r="B103" s="124"/>
      <c r="C103" s="480" t="s">
        <v>14</v>
      </c>
      <c r="D103" s="125" t="s">
        <v>34</v>
      </c>
      <c r="E103" s="126"/>
      <c r="F103" s="126"/>
      <c r="G103" s="127"/>
      <c r="H103" s="128"/>
      <c r="I103" s="121"/>
      <c r="J103" s="42"/>
      <c r="K103" s="43"/>
      <c r="L103" s="43"/>
      <c r="M103" s="43"/>
      <c r="N103" s="43"/>
      <c r="O103" s="122"/>
      <c r="P103" s="405"/>
    </row>
    <row r="104" spans="1:16" ht="20.25" hidden="1">
      <c r="A104" s="406"/>
      <c r="B104" s="138"/>
      <c r="C104" s="138"/>
      <c r="D104" s="139"/>
      <c r="E104" s="139"/>
      <c r="F104" s="139"/>
      <c r="G104" s="140"/>
      <c r="H104" s="141"/>
      <c r="I104" s="142"/>
      <c r="J104" s="142"/>
      <c r="K104" s="143"/>
      <c r="L104" s="14"/>
      <c r="M104" s="14"/>
      <c r="N104" s="14"/>
      <c r="O104" s="14"/>
      <c r="P104" s="407"/>
    </row>
    <row r="105" spans="1:16" ht="20.25" hidden="1">
      <c r="A105" s="406"/>
      <c r="B105" s="138"/>
      <c r="C105" s="138"/>
      <c r="D105" s="139"/>
      <c r="E105" s="139"/>
      <c r="F105" s="139"/>
      <c r="G105" s="140"/>
      <c r="H105" s="141"/>
      <c r="I105" s="142"/>
      <c r="J105" s="142"/>
      <c r="K105" s="143"/>
      <c r="L105" s="14"/>
      <c r="M105" s="14"/>
      <c r="N105" s="14"/>
      <c r="O105" s="14"/>
      <c r="P105" s="407"/>
    </row>
    <row r="106" spans="1:16" ht="20.25" hidden="1">
      <c r="A106" s="406"/>
      <c r="B106" s="138"/>
      <c r="C106" s="138"/>
      <c r="D106" s="138"/>
      <c r="E106" s="139"/>
      <c r="F106" s="139"/>
      <c r="G106" s="140"/>
      <c r="H106" s="141"/>
      <c r="I106" s="142"/>
      <c r="J106" s="142"/>
      <c r="K106" s="143"/>
      <c r="L106" s="14"/>
      <c r="M106" s="14"/>
      <c r="N106" s="14"/>
      <c r="O106" s="14"/>
      <c r="P106" s="407"/>
    </row>
    <row r="107" spans="1:16" ht="20.25">
      <c r="A107" s="404"/>
      <c r="B107" s="124"/>
      <c r="C107" s="124"/>
      <c r="D107" s="144" t="s">
        <v>43</v>
      </c>
      <c r="E107" s="408"/>
      <c r="F107" s="130"/>
      <c r="G107" s="128"/>
      <c r="H107" s="40"/>
      <c r="I107" s="42"/>
      <c r="J107" s="42"/>
      <c r="K107" s="43"/>
      <c r="L107" s="43"/>
      <c r="M107" s="43"/>
      <c r="N107" s="43"/>
      <c r="O107" s="122"/>
      <c r="P107" s="405"/>
    </row>
    <row r="108" spans="1:16" ht="20.25">
      <c r="A108" s="404"/>
      <c r="B108" s="124"/>
      <c r="C108" s="124"/>
      <c r="D108" s="130" t="s">
        <v>44</v>
      </c>
      <c r="E108" s="130"/>
      <c r="F108" s="130"/>
      <c r="G108" s="128"/>
      <c r="H108" s="41" t="s">
        <v>42</v>
      </c>
      <c r="I108" s="145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+IMPORTRANGE(""https://docs.google.com/spreadsheets/d/1uenpWDAH2bchvfvsSIjpd4bRU5D1faxJOaE"&amp;"34GQM5-c/edit?usp=sharing"",""รวมใต้!I108"")"),372)</f>
        <v>372</v>
      </c>
      <c r="J108" s="145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+IMPORTRANGE(""https://docs.google.com/spreadsheets/d/1uenpWDAH2bchvfvsSIjpd4bRU5D1faxJOaE"&amp;"34GQM5-c/edit?usp=sharing"",""รวมใต้!J108"")"),0)</f>
        <v>0</v>
      </c>
      <c r="K108" s="44">
        <f t="shared" ref="K108:K109" ca="1" si="53">IF(I108&gt;0,J108*100/I108,0)</f>
        <v>0</v>
      </c>
      <c r="L108" s="43"/>
      <c r="M108" s="43"/>
      <c r="N108" s="43"/>
      <c r="O108" s="122"/>
      <c r="P108" s="405"/>
    </row>
    <row r="109" spans="1:16" ht="20.25">
      <c r="A109" s="404"/>
      <c r="B109" s="124"/>
      <c r="C109" s="124"/>
      <c r="D109" s="130" t="s">
        <v>45</v>
      </c>
      <c r="E109" s="130"/>
      <c r="F109" s="130"/>
      <c r="G109" s="128"/>
      <c r="H109" s="41" t="s">
        <v>31</v>
      </c>
      <c r="I109" s="145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+IMPORTRANGE(""https://docs.google.com/spreadsheets/d/1uenpWDAH2bchvfvsSIjpd4bRU5D1faxJOaE"&amp;"34GQM5-c/edit?usp=sharing"",""รวมใต้!I109"")"),124)</f>
        <v>124</v>
      </c>
      <c r="J109" s="145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+IMPORTRANGE(""https://docs.google.com/spreadsheets/d/1uenpWDAH2bchvfvsSIjpd4bRU5D1faxJOaE"&amp;"34GQM5-c/edit?usp=sharing"",""รวมใต้!J109"")"),0)</f>
        <v>0</v>
      </c>
      <c r="K109" s="44">
        <f t="shared" ca="1" si="53"/>
        <v>0</v>
      </c>
      <c r="L109" s="43"/>
      <c r="M109" s="43"/>
      <c r="N109" s="43"/>
      <c r="O109" s="122"/>
      <c r="P109" s="405"/>
    </row>
    <row r="110" spans="1:16" ht="20.25" hidden="1">
      <c r="A110" s="406"/>
      <c r="B110" s="138"/>
      <c r="C110" s="138"/>
      <c r="D110" s="139"/>
      <c r="E110" s="146"/>
      <c r="F110" s="139"/>
      <c r="G110" s="140"/>
      <c r="H110" s="140"/>
      <c r="I110" s="147"/>
      <c r="J110" s="147"/>
      <c r="K110" s="148"/>
      <c r="L110" s="14"/>
      <c r="M110" s="14"/>
      <c r="N110" s="14"/>
      <c r="O110" s="14"/>
      <c r="P110" s="407"/>
    </row>
    <row r="111" spans="1:16" ht="20.25" hidden="1">
      <c r="A111" s="406"/>
      <c r="B111" s="138"/>
      <c r="C111" s="138"/>
      <c r="D111" s="139"/>
      <c r="E111" s="139"/>
      <c r="F111" s="139"/>
      <c r="G111" s="140"/>
      <c r="H111" s="141"/>
      <c r="I111" s="142"/>
      <c r="J111" s="142"/>
      <c r="K111" s="143"/>
      <c r="L111" s="14"/>
      <c r="M111" s="14"/>
      <c r="N111" s="14"/>
      <c r="O111" s="14"/>
      <c r="P111" s="407"/>
    </row>
    <row r="112" spans="1:16" ht="20.25" hidden="1">
      <c r="A112" s="406"/>
      <c r="B112" s="138"/>
      <c r="C112" s="138"/>
      <c r="D112" s="139"/>
      <c r="E112" s="139"/>
      <c r="F112" s="139"/>
      <c r="G112" s="140"/>
      <c r="H112" s="141"/>
      <c r="I112" s="142"/>
      <c r="J112" s="142"/>
      <c r="K112" s="143"/>
      <c r="L112" s="14"/>
      <c r="M112" s="14"/>
      <c r="N112" s="14"/>
      <c r="O112" s="14"/>
      <c r="P112" s="407"/>
    </row>
    <row r="113" spans="1:16" ht="20.25" hidden="1">
      <c r="A113" s="406"/>
      <c r="B113" s="138"/>
      <c r="C113" s="138"/>
      <c r="D113" s="139"/>
      <c r="E113" s="146"/>
      <c r="F113" s="139"/>
      <c r="G113" s="140"/>
      <c r="H113" s="140"/>
      <c r="I113" s="147"/>
      <c r="J113" s="147"/>
      <c r="K113" s="148"/>
      <c r="L113" s="14"/>
      <c r="M113" s="14"/>
      <c r="N113" s="14"/>
      <c r="O113" s="14"/>
      <c r="P113" s="407"/>
    </row>
    <row r="114" spans="1:16" ht="20.25" hidden="1">
      <c r="A114" s="406"/>
      <c r="B114" s="138"/>
      <c r="C114" s="138"/>
      <c r="D114" s="139"/>
      <c r="E114" s="139"/>
      <c r="F114" s="139"/>
      <c r="G114" s="140"/>
      <c r="H114" s="141"/>
      <c r="I114" s="142"/>
      <c r="J114" s="142"/>
      <c r="K114" s="143"/>
      <c r="L114" s="14"/>
      <c r="M114" s="14"/>
      <c r="N114" s="14"/>
      <c r="O114" s="14"/>
      <c r="P114" s="407"/>
    </row>
    <row r="115" spans="1:16" ht="20.25" hidden="1">
      <c r="A115" s="406"/>
      <c r="B115" s="138"/>
      <c r="C115" s="138"/>
      <c r="D115" s="139"/>
      <c r="E115" s="139"/>
      <c r="F115" s="139"/>
      <c r="G115" s="140"/>
      <c r="H115" s="141"/>
      <c r="I115" s="142"/>
      <c r="J115" s="142"/>
      <c r="K115" s="143"/>
      <c r="L115" s="14"/>
      <c r="M115" s="14"/>
      <c r="N115" s="14"/>
      <c r="O115" s="14"/>
      <c r="P115" s="407"/>
    </row>
    <row r="116" spans="1:16" ht="20.25" hidden="1">
      <c r="A116" s="406"/>
      <c r="B116" s="138"/>
      <c r="C116" s="138"/>
      <c r="D116" s="139"/>
      <c r="E116" s="139"/>
      <c r="F116" s="139"/>
      <c r="G116" s="140"/>
      <c r="H116" s="141"/>
      <c r="I116" s="142"/>
      <c r="J116" s="142"/>
      <c r="K116" s="143"/>
      <c r="L116" s="14"/>
      <c r="M116" s="14"/>
      <c r="N116" s="14"/>
      <c r="O116" s="14"/>
      <c r="P116" s="407"/>
    </row>
    <row r="117" spans="1:16" ht="20.25">
      <c r="A117" s="404"/>
      <c r="B117" s="124"/>
      <c r="C117" s="124"/>
      <c r="D117" s="130" t="s">
        <v>46</v>
      </c>
      <c r="E117" s="130"/>
      <c r="F117" s="130"/>
      <c r="G117" s="128"/>
      <c r="H117" s="134" t="s">
        <v>31</v>
      </c>
      <c r="I117" s="135">
        <f ca="1">IFERROR(__xludf.DUMMYFUNCTION("IMPORTRANGE(""https://docs.google.com/spreadsheets/d/12pGRKgvn2b31Uz_fjAl3XPzZUM_F2_O-zAHL2XHEPZg/edit?usp=sharing"",""รวมเหนือ!I117"")+IMPORTRANGE(""https://docs.google.com/spreadsheets/d/1c0UfJUA6nE6esVMy0kRcX_PENtt96DMxicQpqi3tips/edit?usp=sharing"","""&amp;"รวมตะวันออกเฉียงเหนือ!I117"")+IMPORTRANGE(""https://docs.google.com/spreadsheets/d/1iNWbYmj0agxPDl_yJgGu1eIremFPVMUuMWUKAjBzvrk/edit?usp=sharing"",""รวมกลาง!I117"")++IMPORTRANGE(""https://docs.google.com/spreadsheets/d/1uenpWDAH2bchvfvsSIjpd4bRU5D1faxJOaE"&amp;"34GQM5-c/edit?usp=sharing"",""รวมใต้!I117"")"),124)</f>
        <v>124</v>
      </c>
      <c r="J117" s="135">
        <f ca="1">IFERROR(__xludf.DUMMYFUNCTION("IMPORTRANGE(""https://docs.google.com/spreadsheets/d/12pGRKgvn2b31Uz_fjAl3XPzZUM_F2_O-zAHL2XHEPZg/edit?usp=sharing"",""รวมเหนือ!J117"")+IMPORTRANGE(""https://docs.google.com/spreadsheets/d/1c0UfJUA6nE6esVMy0kRcX_PENtt96DMxicQpqi3tips/edit?usp=sharing"","""&amp;"รวมตะวันออกเฉียงเหนือ!J117"")+IMPORTRANGE(""https://docs.google.com/spreadsheets/d/1iNWbYmj0agxPDl_yJgGu1eIremFPVMUuMWUKAjBzvrk/edit?usp=sharing"",""รวมกลาง!J117"")++IMPORTRANGE(""https://docs.google.com/spreadsheets/d/1uenpWDAH2bchvfvsSIjpd4bRU5D1faxJOaE"&amp;"34GQM5-c/edit?usp=sharing"",""รวมใต้!J117"")"),0)</f>
        <v>0</v>
      </c>
      <c r="K117" s="44">
        <f ca="1">IF(I117&gt;0,J117*100/I117,0)</f>
        <v>0</v>
      </c>
      <c r="L117" s="43"/>
      <c r="M117" s="43"/>
      <c r="N117" s="43"/>
      <c r="O117" s="122"/>
      <c r="P117" s="405"/>
    </row>
    <row r="118" spans="1:16" ht="20.25" hidden="1">
      <c r="A118" s="406"/>
      <c r="B118" s="138"/>
      <c r="C118" s="138"/>
      <c r="D118" s="138"/>
      <c r="E118" s="139"/>
      <c r="F118" s="139"/>
      <c r="G118" s="140"/>
      <c r="H118" s="149"/>
      <c r="I118" s="150"/>
      <c r="J118" s="150"/>
      <c r="K118" s="151"/>
      <c r="L118" s="14"/>
      <c r="M118" s="14"/>
      <c r="N118" s="14"/>
      <c r="O118" s="14"/>
      <c r="P118" s="407"/>
    </row>
    <row r="119" spans="1:16" ht="20.25" hidden="1">
      <c r="A119" s="406"/>
      <c r="B119" s="138"/>
      <c r="C119" s="138"/>
      <c r="D119" s="138"/>
      <c r="E119" s="139"/>
      <c r="F119" s="139"/>
      <c r="G119" s="140"/>
      <c r="H119" s="141"/>
      <c r="I119" s="142"/>
      <c r="J119" s="142"/>
      <c r="K119" s="143"/>
      <c r="L119" s="14"/>
      <c r="M119" s="14"/>
      <c r="N119" s="14"/>
      <c r="O119" s="14"/>
      <c r="P119" s="407"/>
    </row>
    <row r="120" spans="1:16" ht="20.25" hidden="1">
      <c r="A120" s="406"/>
      <c r="B120" s="138"/>
      <c r="C120" s="138"/>
      <c r="D120" s="138"/>
      <c r="E120" s="139"/>
      <c r="F120" s="139"/>
      <c r="G120" s="140"/>
      <c r="H120" s="141"/>
      <c r="I120" s="142"/>
      <c r="J120" s="142"/>
      <c r="K120" s="143"/>
      <c r="L120" s="14"/>
      <c r="M120" s="14"/>
      <c r="N120" s="14"/>
      <c r="O120" s="14"/>
      <c r="P120" s="407"/>
    </row>
    <row r="121" spans="1:16" ht="20.25" hidden="1">
      <c r="A121" s="406"/>
      <c r="B121" s="138"/>
      <c r="C121" s="138"/>
      <c r="D121" s="138"/>
      <c r="E121" s="139"/>
      <c r="F121" s="139"/>
      <c r="G121" s="140"/>
      <c r="H121" s="141"/>
      <c r="I121" s="142"/>
      <c r="J121" s="142"/>
      <c r="K121" s="143"/>
      <c r="L121" s="14"/>
      <c r="M121" s="14"/>
      <c r="N121" s="14"/>
      <c r="O121" s="14"/>
      <c r="P121" s="407"/>
    </row>
    <row r="122" spans="1:16" ht="20.25" hidden="1">
      <c r="A122" s="406"/>
      <c r="B122" s="138"/>
      <c r="C122" s="138"/>
      <c r="D122" s="138"/>
      <c r="E122" s="139"/>
      <c r="F122" s="139"/>
      <c r="G122" s="140"/>
      <c r="H122" s="141"/>
      <c r="I122" s="142"/>
      <c r="J122" s="142"/>
      <c r="K122" s="143"/>
      <c r="L122" s="14"/>
      <c r="M122" s="14"/>
      <c r="N122" s="14"/>
      <c r="O122" s="14"/>
      <c r="P122" s="407"/>
    </row>
    <row r="123" spans="1:16" ht="20.25" hidden="1">
      <c r="A123" s="409" t="s">
        <v>47</v>
      </c>
      <c r="B123" s="8"/>
      <c r="C123" s="152"/>
      <c r="D123" s="8"/>
      <c r="E123" s="8"/>
      <c r="F123" s="8"/>
      <c r="G123" s="8"/>
      <c r="H123" s="8"/>
      <c r="I123" s="153"/>
      <c r="J123" s="153"/>
      <c r="K123" s="154"/>
      <c r="L123" s="14"/>
      <c r="M123" s="14"/>
      <c r="N123" s="14"/>
      <c r="O123" s="14"/>
      <c r="P123" s="407"/>
    </row>
    <row r="124" spans="1:16" ht="20.25" hidden="1">
      <c r="A124" s="410"/>
      <c r="B124" s="9" t="s">
        <v>48</v>
      </c>
      <c r="C124" s="152"/>
      <c r="D124" s="155"/>
      <c r="E124" s="8"/>
      <c r="F124" s="8"/>
      <c r="G124" s="11"/>
      <c r="H124" s="11"/>
      <c r="I124" s="156">
        <v>0</v>
      </c>
      <c r="J124" s="156">
        <v>0</v>
      </c>
      <c r="K124" s="17">
        <v>0</v>
      </c>
      <c r="L124" s="14"/>
      <c r="M124" s="14"/>
      <c r="N124" s="14"/>
      <c r="O124" s="14"/>
      <c r="P124" s="407"/>
    </row>
    <row r="125" spans="1:16" ht="20.25" hidden="1">
      <c r="A125" s="410"/>
      <c r="B125" s="8"/>
      <c r="C125" s="9" t="s">
        <v>14</v>
      </c>
      <c r="D125" s="10" t="s">
        <v>15</v>
      </c>
      <c r="E125" s="8"/>
      <c r="F125" s="8"/>
      <c r="G125" s="11"/>
      <c r="H125" s="157" t="s">
        <v>12</v>
      </c>
      <c r="I125" s="13"/>
      <c r="J125" s="13"/>
      <c r="K125" s="14"/>
      <c r="L125" s="15">
        <f t="shared" ref="L125:N125" ca="1" si="54">L126+L127</f>
        <v>0</v>
      </c>
      <c r="M125" s="15">
        <f t="shared" ca="1" si="54"/>
        <v>0</v>
      </c>
      <c r="N125" s="15">
        <f t="shared" ca="1" si="54"/>
        <v>0</v>
      </c>
      <c r="O125" s="15">
        <f t="shared" ref="O125:O133" ca="1" si="55">IF(L125&gt;0,N125*100/L125,0)</f>
        <v>0</v>
      </c>
      <c r="P125" s="360">
        <f t="shared" ref="P125:P133" ca="1" si="56">IF(M125&gt;0,N125*100/M125,0)</f>
        <v>0</v>
      </c>
    </row>
    <row r="126" spans="1:16" ht="20.25" hidden="1">
      <c r="A126" s="411"/>
      <c r="B126" s="139"/>
      <c r="C126" s="139"/>
      <c r="D126" s="139"/>
      <c r="E126" s="139" t="s">
        <v>16</v>
      </c>
      <c r="F126" s="139"/>
      <c r="G126" s="140"/>
      <c r="H126" s="158" t="s">
        <v>12</v>
      </c>
      <c r="I126" s="147"/>
      <c r="J126" s="147"/>
      <c r="K126" s="148"/>
      <c r="L126" s="17">
        <f t="shared" ref="L126:N126" ca="1" si="57">L129+L132</f>
        <v>0</v>
      </c>
      <c r="M126" s="17">
        <f t="shared" ca="1" si="57"/>
        <v>0</v>
      </c>
      <c r="N126" s="17">
        <f t="shared" ca="1" si="57"/>
        <v>0</v>
      </c>
      <c r="O126" s="17">
        <f t="shared" ca="1" si="55"/>
        <v>0</v>
      </c>
      <c r="P126" s="361">
        <f t="shared" ca="1" si="56"/>
        <v>0</v>
      </c>
    </row>
    <row r="127" spans="1:16" ht="20.25" hidden="1">
      <c r="A127" s="410"/>
      <c r="B127" s="8"/>
      <c r="C127" s="8"/>
      <c r="D127" s="8"/>
      <c r="E127" s="8" t="s">
        <v>17</v>
      </c>
      <c r="F127" s="8"/>
      <c r="G127" s="11"/>
      <c r="H127" s="159" t="s">
        <v>12</v>
      </c>
      <c r="I127" s="13"/>
      <c r="J127" s="13"/>
      <c r="K127" s="14"/>
      <c r="L127" s="17">
        <f t="shared" ref="L127:N127" ca="1" si="58">L130+L133</f>
        <v>0</v>
      </c>
      <c r="M127" s="17">
        <f t="shared" ca="1" si="58"/>
        <v>0</v>
      </c>
      <c r="N127" s="17">
        <f t="shared" ca="1" si="58"/>
        <v>0</v>
      </c>
      <c r="O127" s="17">
        <f t="shared" ca="1" si="55"/>
        <v>0</v>
      </c>
      <c r="P127" s="361">
        <f t="shared" ca="1" si="56"/>
        <v>0</v>
      </c>
    </row>
    <row r="128" spans="1:16" ht="20.25" hidden="1">
      <c r="A128" s="410"/>
      <c r="B128" s="8"/>
      <c r="C128" s="8"/>
      <c r="D128" s="18" t="s">
        <v>18</v>
      </c>
      <c r="E128" s="8"/>
      <c r="F128" s="8"/>
      <c r="G128" s="11"/>
      <c r="H128" s="160" t="s">
        <v>12</v>
      </c>
      <c r="I128" s="13"/>
      <c r="J128" s="13"/>
      <c r="K128" s="14"/>
      <c r="L128" s="17">
        <f t="shared" ref="L128:N128" ca="1" si="59">L129+L130</f>
        <v>0</v>
      </c>
      <c r="M128" s="17">
        <f t="shared" ca="1" si="59"/>
        <v>0</v>
      </c>
      <c r="N128" s="17">
        <f t="shared" ca="1" si="59"/>
        <v>0</v>
      </c>
      <c r="O128" s="17">
        <f t="shared" ca="1" si="55"/>
        <v>0</v>
      </c>
      <c r="P128" s="361">
        <f t="shared" ca="1" si="56"/>
        <v>0</v>
      </c>
    </row>
    <row r="129" spans="1:16" ht="20.25" hidden="1">
      <c r="A129" s="411"/>
      <c r="B129" s="139"/>
      <c r="C129" s="139"/>
      <c r="D129" s="139"/>
      <c r="E129" s="139" t="s">
        <v>32</v>
      </c>
      <c r="F129" s="139"/>
      <c r="G129" s="140"/>
      <c r="H129" s="161" t="s">
        <v>12</v>
      </c>
      <c r="I129" s="147"/>
      <c r="J129" s="147"/>
      <c r="K129" s="148"/>
      <c r="L129" s="17">
        <f ca="1">IFERROR(__xludf.DUMMYFUNCTION("IMPORTRANGE(""https://docs.google.com/spreadsheets/d/1-uDff_7J0KD5mKrp0Vvzr7lt3OU09vwQwhkpOPPYv2Y/edit?usp=sharing"",""งบพรบ!BG9"")"),0)</f>
        <v>0</v>
      </c>
      <c r="M129" s="17">
        <f ca="1">IFERROR(__xludf.DUMMYFUNCTION("IMPORTRANGE(""https://docs.google.com/spreadsheets/d/1-uDff_7J0KD5mKrp0Vvzr7lt3OU09vwQwhkpOPPYv2Y/edit?usp=sharing"",""งบพรบ!BL9"")"),0)</f>
        <v>0</v>
      </c>
      <c r="N129" s="17">
        <f ca="1">IFERROR(__xludf.DUMMYFUNCTION("IMPORTRANGE(""https://docs.google.com/spreadsheets/d/1-uDff_7J0KD5mKrp0Vvzr7lt3OU09vwQwhkpOPPYv2Y/edit?usp=sharing"",""งบพรบ!BN9"")"),0)</f>
        <v>0</v>
      </c>
      <c r="O129" s="17">
        <f t="shared" ca="1" si="55"/>
        <v>0</v>
      </c>
      <c r="P129" s="361">
        <f t="shared" ca="1" si="56"/>
        <v>0</v>
      </c>
    </row>
    <row r="130" spans="1:16" ht="20.25" hidden="1">
      <c r="A130" s="410"/>
      <c r="B130" s="8"/>
      <c r="C130" s="8"/>
      <c r="D130" s="8"/>
      <c r="E130" s="8" t="s">
        <v>33</v>
      </c>
      <c r="F130" s="8"/>
      <c r="G130" s="11"/>
      <c r="H130" s="160" t="s">
        <v>12</v>
      </c>
      <c r="I130" s="13"/>
      <c r="J130" s="13"/>
      <c r="K130" s="14"/>
      <c r="L130" s="17">
        <f ca="1">IFERROR(__xludf.DUMMYFUNCTION("IMPORTRANGE(""https://docs.google.com/spreadsheets/d/1-uDff_7J0KD5mKrp0Vvzr7lt3OU09vwQwhkpOPPYv2Y/edit?usp=sharing"",""งบพรบ!BG8"")"),0)</f>
        <v>0</v>
      </c>
      <c r="M130" s="17">
        <f ca="1">IFERROR(__xludf.DUMMYFUNCTION("IMPORTRANGE(""https://docs.google.com/spreadsheets/d/1-uDff_7J0KD5mKrp0Vvzr7lt3OU09vwQwhkpOPPYv2Y/edit?usp=sharing"",""งบพรบ!BL8"")"),0)</f>
        <v>0</v>
      </c>
      <c r="N130" s="17">
        <f ca="1">IFERROR(__xludf.DUMMYFUNCTION("IMPORTRANGE(""https://docs.google.com/spreadsheets/d/1-uDff_7J0KD5mKrp0Vvzr7lt3OU09vwQwhkpOPPYv2Y/edit?usp=sharing"",""งบพรบ!BN8"")"),0)</f>
        <v>0</v>
      </c>
      <c r="O130" s="17">
        <f t="shared" ca="1" si="55"/>
        <v>0</v>
      </c>
      <c r="P130" s="361">
        <f t="shared" ca="1" si="56"/>
        <v>0</v>
      </c>
    </row>
    <row r="131" spans="1:16" ht="20.25" hidden="1">
      <c r="A131" s="410"/>
      <c r="B131" s="8"/>
      <c r="C131" s="8"/>
      <c r="D131" s="18" t="s">
        <v>19</v>
      </c>
      <c r="E131" s="8"/>
      <c r="F131" s="8"/>
      <c r="G131" s="11"/>
      <c r="H131" s="159" t="s">
        <v>12</v>
      </c>
      <c r="I131" s="13"/>
      <c r="J131" s="13"/>
      <c r="K131" s="14"/>
      <c r="L131" s="17">
        <f t="shared" ref="L131:N131" ca="1" si="60">L132+L133</f>
        <v>0</v>
      </c>
      <c r="M131" s="17">
        <f t="shared" ca="1" si="60"/>
        <v>0</v>
      </c>
      <c r="N131" s="17">
        <f t="shared" ca="1" si="60"/>
        <v>0</v>
      </c>
      <c r="O131" s="17">
        <f t="shared" ca="1" si="55"/>
        <v>0</v>
      </c>
      <c r="P131" s="361">
        <f t="shared" ca="1" si="56"/>
        <v>0</v>
      </c>
    </row>
    <row r="132" spans="1:16" ht="20.25" hidden="1">
      <c r="A132" s="411"/>
      <c r="B132" s="139"/>
      <c r="C132" s="139"/>
      <c r="D132" s="139"/>
      <c r="E132" s="139" t="s">
        <v>16</v>
      </c>
      <c r="F132" s="139"/>
      <c r="G132" s="140"/>
      <c r="H132" s="161" t="s">
        <v>12</v>
      </c>
      <c r="I132" s="147"/>
      <c r="J132" s="147"/>
      <c r="K132" s="148"/>
      <c r="L132" s="17">
        <f ca="1">IFERROR(__xludf.DUMMYFUNCTION("IMPORTRANGE(""https://docs.google.com/spreadsheets/d/1-uDff_7J0KD5mKrp0Vvzr7lt3OU09vwQwhkpOPPYv2Y/edit?usp=sharing"",""งบพรบ!BJ9"")"),0)</f>
        <v>0</v>
      </c>
      <c r="M132" s="17">
        <f ca="1">IFERROR(__xludf.DUMMYFUNCTION("IMPORTRANGE(""https://docs.google.com/spreadsheets/d/1-uDff_7J0KD5mKrp0Vvzr7lt3OU09vwQwhkpOPPYv2Y/edit?usp=sharing"",""งบพรบ!BM9"")"),0)</f>
        <v>0</v>
      </c>
      <c r="N132" s="17">
        <f ca="1">IFERROR(__xludf.DUMMYFUNCTION("IMPORTRANGE(""https://docs.google.com/spreadsheets/d/1-uDff_7J0KD5mKrp0Vvzr7lt3OU09vwQwhkpOPPYv2Y/edit?usp=sharing"",""งบพรบ!BO9"")"),0)</f>
        <v>0</v>
      </c>
      <c r="O132" s="17">
        <f t="shared" ca="1" si="55"/>
        <v>0</v>
      </c>
      <c r="P132" s="361">
        <f t="shared" ca="1" si="56"/>
        <v>0</v>
      </c>
    </row>
    <row r="133" spans="1:16" ht="20.25" hidden="1">
      <c r="A133" s="410"/>
      <c r="B133" s="8"/>
      <c r="C133" s="8"/>
      <c r="D133" s="8"/>
      <c r="E133" s="8" t="s">
        <v>17</v>
      </c>
      <c r="F133" s="8"/>
      <c r="G133" s="11"/>
      <c r="H133" s="159" t="s">
        <v>12</v>
      </c>
      <c r="I133" s="13"/>
      <c r="J133" s="13"/>
      <c r="K133" s="14"/>
      <c r="L133" s="17">
        <f ca="1">IFERROR(__xludf.DUMMYFUNCTION("IMPORTRANGE(""https://docs.google.com/spreadsheets/d/1-uDff_7J0KD5mKrp0Vvzr7lt3OU09vwQwhkpOPPYv2Y/edit?usp=sharing"",""งบพรบ!BJ8"")"),0)</f>
        <v>0</v>
      </c>
      <c r="M133" s="17">
        <f ca="1">IFERROR(__xludf.DUMMYFUNCTION("IMPORTRANGE(""https://docs.google.com/spreadsheets/d/1-uDff_7J0KD5mKrp0Vvzr7lt3OU09vwQwhkpOPPYv2Y/edit?usp=sharing"",""งบพรบ!BM8"")"),0)</f>
        <v>0</v>
      </c>
      <c r="N133" s="17">
        <f ca="1">IFERROR(__xludf.DUMMYFUNCTION("IMPORTRANGE(""https://docs.google.com/spreadsheets/d/1-uDff_7J0KD5mKrp0Vvzr7lt3OU09vwQwhkpOPPYv2Y/edit?usp=sharing"",""งบพรบ!BO8"")"),0)</f>
        <v>0</v>
      </c>
      <c r="O133" s="17">
        <f t="shared" ca="1" si="55"/>
        <v>0</v>
      </c>
      <c r="P133" s="361">
        <f t="shared" ca="1" si="56"/>
        <v>0</v>
      </c>
    </row>
    <row r="134" spans="1:16" ht="20.25">
      <c r="A134" s="398" t="s">
        <v>49</v>
      </c>
      <c r="B134" s="108"/>
      <c r="C134" s="162"/>
      <c r="D134" s="108"/>
      <c r="E134" s="108"/>
      <c r="F134" s="108"/>
      <c r="G134" s="108"/>
      <c r="H134" s="108"/>
      <c r="I134" s="163"/>
      <c r="J134" s="163"/>
      <c r="K134" s="164"/>
      <c r="L134" s="112"/>
      <c r="M134" s="112"/>
      <c r="N134" s="112"/>
      <c r="O134" s="112"/>
      <c r="P134" s="399"/>
    </row>
    <row r="135" spans="1:16" ht="20.25">
      <c r="A135" s="400"/>
      <c r="B135" s="29" t="s">
        <v>50</v>
      </c>
      <c r="C135" s="165"/>
      <c r="D135" s="113"/>
      <c r="E135" s="28"/>
      <c r="F135" s="28"/>
      <c r="G135" s="28"/>
      <c r="H135" s="28"/>
      <c r="I135" s="33"/>
      <c r="J135" s="33"/>
      <c r="K135" s="34"/>
      <c r="L135" s="34"/>
      <c r="M135" s="34"/>
      <c r="N135" s="34"/>
      <c r="O135" s="34"/>
      <c r="P135" s="401"/>
    </row>
    <row r="136" spans="1:16" ht="20.25">
      <c r="A136" s="400"/>
      <c r="B136" s="28"/>
      <c r="C136" s="166" t="s">
        <v>51</v>
      </c>
      <c r="D136" s="113"/>
      <c r="E136" s="28"/>
      <c r="F136" s="28"/>
      <c r="G136" s="31"/>
      <c r="H136" s="114" t="s">
        <v>52</v>
      </c>
      <c r="I136" s="115">
        <f t="shared" ref="I136:J136" ca="1" si="61">I154</f>
        <v>27</v>
      </c>
      <c r="J136" s="115">
        <f t="shared" ca="1" si="61"/>
        <v>0</v>
      </c>
      <c r="K136" s="35">
        <f t="shared" ref="K136:K138" ca="1" si="62">IF(I136&gt;0,J136*100/I136,0)</f>
        <v>0</v>
      </c>
      <c r="L136" s="34"/>
      <c r="M136" s="34"/>
      <c r="N136" s="34"/>
      <c r="O136" s="34"/>
      <c r="P136" s="401"/>
    </row>
    <row r="137" spans="1:16" ht="20.25">
      <c r="A137" s="400"/>
      <c r="B137" s="28"/>
      <c r="C137" s="166" t="s">
        <v>53</v>
      </c>
      <c r="D137" s="113"/>
      <c r="E137" s="28"/>
      <c r="F137" s="28"/>
      <c r="G137" s="31"/>
      <c r="H137" s="114" t="s">
        <v>31</v>
      </c>
      <c r="I137" s="115">
        <f t="shared" ref="I137:J137" ca="1" si="63">I152</f>
        <v>1070</v>
      </c>
      <c r="J137" s="115">
        <f t="shared" ca="1" si="63"/>
        <v>10</v>
      </c>
      <c r="K137" s="35">
        <f t="shared" ca="1" si="62"/>
        <v>0.93457943925233644</v>
      </c>
      <c r="L137" s="34"/>
      <c r="M137" s="34"/>
      <c r="N137" s="34"/>
      <c r="O137" s="34"/>
      <c r="P137" s="401"/>
    </row>
    <row r="138" spans="1:16" ht="20.25">
      <c r="A138" s="400"/>
      <c r="B138" s="28"/>
      <c r="C138" s="166"/>
      <c r="D138" s="113"/>
      <c r="E138" s="28"/>
      <c r="F138" s="28"/>
      <c r="G138" s="31"/>
      <c r="H138" s="114" t="s">
        <v>54</v>
      </c>
      <c r="I138" s="115">
        <f t="shared" ref="I138:J138" ca="1" si="64">I153</f>
        <v>107</v>
      </c>
      <c r="J138" s="115">
        <f t="shared" ca="1" si="64"/>
        <v>1</v>
      </c>
      <c r="K138" s="35">
        <f t="shared" ca="1" si="62"/>
        <v>0.93457943925233644</v>
      </c>
      <c r="L138" s="34"/>
      <c r="M138" s="34"/>
      <c r="N138" s="34"/>
      <c r="O138" s="34"/>
      <c r="P138" s="401"/>
    </row>
    <row r="139" spans="1:16" ht="20.25">
      <c r="A139" s="402"/>
      <c r="B139" s="38"/>
      <c r="C139" s="480" t="s">
        <v>14</v>
      </c>
      <c r="D139" s="116" t="s">
        <v>15</v>
      </c>
      <c r="E139" s="38"/>
      <c r="F139" s="38"/>
      <c r="G139" s="40"/>
      <c r="H139" s="117" t="s">
        <v>12</v>
      </c>
      <c r="I139" s="42"/>
      <c r="J139" s="42"/>
      <c r="K139" s="43"/>
      <c r="L139" s="118">
        <f t="shared" ref="L139:N139" ca="1" si="65">L140+L141</f>
        <v>3675200</v>
      </c>
      <c r="M139" s="118">
        <f t="shared" ca="1" si="65"/>
        <v>3313200</v>
      </c>
      <c r="N139" s="118">
        <f t="shared" ca="1" si="65"/>
        <v>745646.9800000001</v>
      </c>
      <c r="O139" s="118">
        <f t="shared" ref="O139:O147" ca="1" si="66">IF(L139&gt;0,N139*100/L139,0)</f>
        <v>20.288609599477585</v>
      </c>
      <c r="P139" s="403">
        <f t="shared" ref="P139:P147" ca="1" si="67">IF(M139&gt;0,N139*100/M139,0)</f>
        <v>22.505341663648441</v>
      </c>
    </row>
    <row r="140" spans="1:16" ht="20.25">
      <c r="A140" s="402"/>
      <c r="B140" s="38"/>
      <c r="C140" s="38"/>
      <c r="D140" s="38"/>
      <c r="E140" s="38" t="s">
        <v>16</v>
      </c>
      <c r="F140" s="38"/>
      <c r="G140" s="40"/>
      <c r="H140" s="119" t="s">
        <v>12</v>
      </c>
      <c r="I140" s="42"/>
      <c r="J140" s="42"/>
      <c r="K140" s="43"/>
      <c r="L140" s="44">
        <f t="shared" ref="L140:N140" ca="1" si="68">L143+L146</f>
        <v>312000</v>
      </c>
      <c r="M140" s="44">
        <f t="shared" ca="1" si="68"/>
        <v>571500</v>
      </c>
      <c r="N140" s="44">
        <f t="shared" ca="1" si="68"/>
        <v>127327.8</v>
      </c>
      <c r="O140" s="44">
        <f t="shared" ca="1" si="66"/>
        <v>40.810192307692304</v>
      </c>
      <c r="P140" s="369">
        <f t="shared" ca="1" si="67"/>
        <v>22.27958005249344</v>
      </c>
    </row>
    <row r="141" spans="1:16" ht="20.25">
      <c r="A141" s="402"/>
      <c r="B141" s="38"/>
      <c r="C141" s="38"/>
      <c r="D141" s="38"/>
      <c r="E141" s="38" t="s">
        <v>17</v>
      </c>
      <c r="F141" s="38"/>
      <c r="G141" s="40"/>
      <c r="H141" s="119" t="s">
        <v>12</v>
      </c>
      <c r="I141" s="42"/>
      <c r="J141" s="42"/>
      <c r="K141" s="43"/>
      <c r="L141" s="44">
        <f t="shared" ref="L141:N141" ca="1" si="69">L144+L147</f>
        <v>3363200</v>
      </c>
      <c r="M141" s="44">
        <f t="shared" ca="1" si="69"/>
        <v>2741700</v>
      </c>
      <c r="N141" s="44">
        <f t="shared" ca="1" si="69"/>
        <v>618319.18000000005</v>
      </c>
      <c r="O141" s="44">
        <f t="shared" ca="1" si="66"/>
        <v>18.384847169362516</v>
      </c>
      <c r="P141" s="369">
        <f t="shared" ca="1" si="67"/>
        <v>22.552401065032647</v>
      </c>
    </row>
    <row r="142" spans="1:16" ht="20.25">
      <c r="A142" s="402"/>
      <c r="B142" s="38"/>
      <c r="C142" s="38"/>
      <c r="D142" s="39" t="s">
        <v>18</v>
      </c>
      <c r="E142" s="38"/>
      <c r="F142" s="38"/>
      <c r="G142" s="40"/>
      <c r="H142" s="120" t="s">
        <v>12</v>
      </c>
      <c r="I142" s="121"/>
      <c r="J142" s="121"/>
      <c r="K142" s="122"/>
      <c r="L142" s="44">
        <f t="shared" ref="L142:N142" ca="1" si="70">L143+L144</f>
        <v>3675200</v>
      </c>
      <c r="M142" s="44">
        <f t="shared" ca="1" si="70"/>
        <v>3313200</v>
      </c>
      <c r="N142" s="44">
        <f t="shared" ca="1" si="70"/>
        <v>745646.9800000001</v>
      </c>
      <c r="O142" s="44">
        <f t="shared" ca="1" si="66"/>
        <v>20.288609599477585</v>
      </c>
      <c r="P142" s="369">
        <f t="shared" ca="1" si="67"/>
        <v>22.505341663648441</v>
      </c>
    </row>
    <row r="143" spans="1:16" ht="20.25">
      <c r="A143" s="402"/>
      <c r="B143" s="38"/>
      <c r="C143" s="38"/>
      <c r="D143" s="38"/>
      <c r="E143" s="38" t="s">
        <v>32</v>
      </c>
      <c r="F143" s="38"/>
      <c r="G143" s="40"/>
      <c r="H143" s="120" t="s">
        <v>12</v>
      </c>
      <c r="I143" s="121"/>
      <c r="J143" s="121"/>
      <c r="K143" s="122"/>
      <c r="L143" s="44">
        <f ca="1">IFERROR(__xludf.DUMMYFUNCTION("IMPORTRANGE(""https://docs.google.com/spreadsheets/d/1-uDff_7J0KD5mKrp0Vvzr7lt3OU09vwQwhkpOPPYv2Y/edit?usp=sharing"",""งบพรบ!BQ9"")"),312000)</f>
        <v>312000</v>
      </c>
      <c r="M143" s="44">
        <f ca="1">IFERROR(__xludf.DUMMYFUNCTION("IMPORTRANGE(""https://docs.google.com/spreadsheets/d/1-uDff_7J0KD5mKrp0Vvzr7lt3OU09vwQwhkpOPPYv2Y/edit?usp=sharing"",""งบพรบ!BV9"")"),571500)</f>
        <v>571500</v>
      </c>
      <c r="N143" s="44">
        <f ca="1">IFERROR(__xludf.DUMMYFUNCTION("IMPORTRANGE(""https://docs.google.com/spreadsheets/d/1-uDff_7J0KD5mKrp0Vvzr7lt3OU09vwQwhkpOPPYv2Y/edit?usp=sharing"",""งบพรบ!BX9"")"),127327.8)</f>
        <v>127327.8</v>
      </c>
      <c r="O143" s="44">
        <f t="shared" ca="1" si="66"/>
        <v>40.810192307692304</v>
      </c>
      <c r="P143" s="369">
        <f t="shared" ca="1" si="67"/>
        <v>22.27958005249344</v>
      </c>
    </row>
    <row r="144" spans="1:16" ht="20.25">
      <c r="A144" s="402"/>
      <c r="B144" s="38"/>
      <c r="C144" s="38"/>
      <c r="D144" s="38"/>
      <c r="E144" s="38" t="s">
        <v>33</v>
      </c>
      <c r="F144" s="38"/>
      <c r="G144" s="40"/>
      <c r="H144" s="120" t="s">
        <v>12</v>
      </c>
      <c r="I144" s="121"/>
      <c r="J144" s="121"/>
      <c r="K144" s="122"/>
      <c r="L144" s="44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+IMPORTRANGE(""https://docs.google.com/spreadsheets/d/1uenpWDAH2bchvfvsSIjpd4bRU5D1faxJOaE"&amp;"34GQM5-c/edit?usp=sharing"",""รวมใต้!L144"")"),3363200)</f>
        <v>3363200</v>
      </c>
      <c r="M144" s="44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+IMPORTRANGE(""https://docs.google.com/spreadsheets/d/1uenpWDAH2bchvfvsSIjpd4bRU5D1faxJOaE"&amp;"34GQM5-c/edit?usp=sharing"",""รวมใต้!M144"")"),2741700)</f>
        <v>2741700</v>
      </c>
      <c r="N144" s="44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+IMPORTRANGE(""https://docs.google.com/spreadsheets/d/1uenpWDAH2bchvfvsSIjpd4bRU5D1faxJOaE"&amp;"34GQM5-c/edit?usp=sharing"",""รวมใต้!N144"")"),618319.18)</f>
        <v>618319.18000000005</v>
      </c>
      <c r="O144" s="44">
        <f t="shared" ca="1" si="66"/>
        <v>18.384847169362516</v>
      </c>
      <c r="P144" s="369">
        <f t="shared" ca="1" si="67"/>
        <v>22.552401065032647</v>
      </c>
    </row>
    <row r="145" spans="1:16" ht="20.25">
      <c r="A145" s="402"/>
      <c r="B145" s="38"/>
      <c r="C145" s="38"/>
      <c r="D145" s="39" t="s">
        <v>19</v>
      </c>
      <c r="E145" s="38"/>
      <c r="F145" s="38"/>
      <c r="G145" s="40"/>
      <c r="H145" s="123" t="s">
        <v>12</v>
      </c>
      <c r="I145" s="121"/>
      <c r="J145" s="121"/>
      <c r="K145" s="122"/>
      <c r="L145" s="44">
        <f t="shared" ref="L145:N145" ca="1" si="71">L146+L147</f>
        <v>0</v>
      </c>
      <c r="M145" s="44">
        <f t="shared" ca="1" si="71"/>
        <v>0</v>
      </c>
      <c r="N145" s="44">
        <f t="shared" ca="1" si="71"/>
        <v>0</v>
      </c>
      <c r="O145" s="44">
        <f t="shared" ca="1" si="66"/>
        <v>0</v>
      </c>
      <c r="P145" s="369">
        <f t="shared" ca="1" si="67"/>
        <v>0</v>
      </c>
    </row>
    <row r="146" spans="1:16" ht="20.25">
      <c r="A146" s="402"/>
      <c r="B146" s="38"/>
      <c r="C146" s="38"/>
      <c r="D146" s="38"/>
      <c r="E146" s="38" t="s">
        <v>16</v>
      </c>
      <c r="F146" s="38"/>
      <c r="G146" s="40"/>
      <c r="H146" s="120" t="s">
        <v>12</v>
      </c>
      <c r="I146" s="121"/>
      <c r="J146" s="121"/>
      <c r="K146" s="122"/>
      <c r="L146" s="44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+IMPORTRANGE(""https://docs.google.com/spreadsheets/d/1uenpWDAH2bchvfvsSIjpd4bRU5D1faxJOaE"&amp;"34GQM5-c/edit?usp=sharing"",""รวมใต้!L146"")"),0)</f>
        <v>0</v>
      </c>
      <c r="M146" s="44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+IMPORTRANGE(""https://docs.google.com/spreadsheets/d/1uenpWDAH2bchvfvsSIjpd4bRU5D1faxJOaE"&amp;"34GQM5-c/edit?usp=sharing"",""รวมใต้!M146"")"),0)</f>
        <v>0</v>
      </c>
      <c r="N146" s="44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+IMPORTRANGE(""https://docs.google.com/spreadsheets/d/1uenpWDAH2bchvfvsSIjpd4bRU5D1faxJOaE"&amp;"34GQM5-c/edit?usp=sharing"",""รวมใต้!N146"")"),0)</f>
        <v>0</v>
      </c>
      <c r="O146" s="44">
        <f t="shared" ca="1" si="66"/>
        <v>0</v>
      </c>
      <c r="P146" s="369">
        <f t="shared" ca="1" si="67"/>
        <v>0</v>
      </c>
    </row>
    <row r="147" spans="1:16" ht="20.25">
      <c r="A147" s="402"/>
      <c r="B147" s="38"/>
      <c r="C147" s="38"/>
      <c r="D147" s="38"/>
      <c r="E147" s="38" t="s">
        <v>17</v>
      </c>
      <c r="F147" s="38"/>
      <c r="G147" s="40"/>
      <c r="H147" s="123" t="s">
        <v>12</v>
      </c>
      <c r="I147" s="121"/>
      <c r="J147" s="121"/>
      <c r="K147" s="122"/>
      <c r="L147" s="44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+IMPORTRANGE(""https://docs.google.com/spreadsheets/d/1uenpWDAH2bchvfvsSIjpd4bRU5D1faxJOaE"&amp;"34GQM5-c/edit?usp=sharing"",""รวมใต้!L147"")"),0)</f>
        <v>0</v>
      </c>
      <c r="M147" s="44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+IMPORTRANGE(""https://docs.google.com/spreadsheets/d/1uenpWDAH2bchvfvsSIjpd4bRU5D1faxJOaE"&amp;"34GQM5-c/edit?usp=sharing"",""รวมใต้!M147"")"),0)</f>
        <v>0</v>
      </c>
      <c r="N147" s="44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+IMPORTRANGE(""https://docs.google.com/spreadsheets/d/1uenpWDAH2bchvfvsSIjpd4bRU5D1faxJOaE"&amp;"34GQM5-c/edit?usp=sharing"",""รวมใต้!N147"")"),0)</f>
        <v>0</v>
      </c>
      <c r="O147" s="44">
        <f t="shared" ca="1" si="66"/>
        <v>0</v>
      </c>
      <c r="P147" s="369">
        <f t="shared" ca="1" si="67"/>
        <v>0</v>
      </c>
    </row>
    <row r="148" spans="1:16" ht="20.25">
      <c r="A148" s="404"/>
      <c r="B148" s="124"/>
      <c r="C148" s="480" t="s">
        <v>14</v>
      </c>
      <c r="D148" s="125" t="s">
        <v>34</v>
      </c>
      <c r="E148" s="126"/>
      <c r="F148" s="126"/>
      <c r="G148" s="127"/>
      <c r="H148" s="167"/>
      <c r="I148" s="42"/>
      <c r="J148" s="42"/>
      <c r="K148" s="43"/>
      <c r="L148" s="43"/>
      <c r="M148" s="43"/>
      <c r="N148" s="43"/>
      <c r="O148" s="43"/>
      <c r="P148" s="412"/>
    </row>
    <row r="149" spans="1:16" ht="20.25">
      <c r="A149" s="402"/>
      <c r="B149" s="38"/>
      <c r="C149" s="38"/>
      <c r="D149" s="38" t="s">
        <v>55</v>
      </c>
      <c r="E149" s="38"/>
      <c r="F149" s="38"/>
      <c r="G149" s="40"/>
      <c r="H149" s="167"/>
      <c r="I149" s="42"/>
      <c r="J149" s="145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+IMPORTRANGE(""https://docs.google.com/spreadsheets/d/1uenpWDAH2bchvfvsSIjpd4bRU5D1faxJOaE"&amp;"34GQM5-c/edit?usp=sharing"",""รวมใต้!J149"")"),0)</f>
        <v>0</v>
      </c>
      <c r="K149" s="43"/>
      <c r="L149" s="43"/>
      <c r="M149" s="43"/>
      <c r="N149" s="43"/>
      <c r="O149" s="43"/>
      <c r="P149" s="412"/>
    </row>
    <row r="150" spans="1:16" ht="20.25">
      <c r="A150" s="413"/>
      <c r="B150" s="45"/>
      <c r="C150" s="45"/>
      <c r="D150" s="168"/>
      <c r="E150" s="45" t="s">
        <v>145</v>
      </c>
      <c r="F150" s="45"/>
      <c r="G150" s="47"/>
      <c r="H150" s="169" t="s">
        <v>31</v>
      </c>
      <c r="I150" s="170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+IMPORTRANGE(""https://docs.google.com/spreadsheets/d/1uenpWDAH2bchvfvsSIjpd4bRU5D1faxJOaE"&amp;"34GQM5-c/edit?usp=sharing"",""รวมใต้!I150"")"),270)</f>
        <v>270</v>
      </c>
      <c r="J150" s="170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+IMPORTRANGE(""https://docs.google.com/spreadsheets/d/1uenpWDAH2bchvfvsSIjpd4bRU5D1faxJOaE"&amp;"34GQM5-c/edit?usp=sharing"",""รวมใต้!J150"")"),0)</f>
        <v>0</v>
      </c>
      <c r="K150" s="51">
        <f t="shared" ref="K150:K154" ca="1" si="72">IF(I150&gt;0,J150*100/I150,0)</f>
        <v>0</v>
      </c>
      <c r="L150" s="50"/>
      <c r="M150" s="50"/>
      <c r="N150" s="50"/>
      <c r="O150" s="50"/>
      <c r="P150" s="414"/>
    </row>
    <row r="151" spans="1:16" ht="20.25">
      <c r="A151" s="413"/>
      <c r="B151" s="45"/>
      <c r="C151" s="45"/>
      <c r="D151" s="168"/>
      <c r="E151" s="45"/>
      <c r="F151" s="45"/>
      <c r="G151" s="47"/>
      <c r="H151" s="169" t="s">
        <v>54</v>
      </c>
      <c r="I151" s="170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+IMPORTRANGE(""https://docs.google.com/spreadsheets/d/1uenpWDAH2bchvfvsSIjpd4bRU5D1faxJOaE"&amp;"34GQM5-c/edit?usp=sharing"",""รวมใต้!I151"")"),27)</f>
        <v>27</v>
      </c>
      <c r="J151" s="170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+IMPORTRANGE(""https://docs.google.com/spreadsheets/d/1uenpWDAH2bchvfvsSIjpd4bRU5D1faxJOaE"&amp;"34GQM5-c/edit?usp=sharing"",""รวมใต้!J151"")"),0)</f>
        <v>0</v>
      </c>
      <c r="K151" s="51">
        <f t="shared" ca="1" si="72"/>
        <v>0</v>
      </c>
      <c r="L151" s="50"/>
      <c r="M151" s="50"/>
      <c r="N151" s="50"/>
      <c r="O151" s="50"/>
      <c r="P151" s="414"/>
    </row>
    <row r="152" spans="1:16" ht="20.25">
      <c r="A152" s="413"/>
      <c r="B152" s="45"/>
      <c r="C152" s="45"/>
      <c r="D152" s="168"/>
      <c r="E152" s="45" t="s">
        <v>146</v>
      </c>
      <c r="F152" s="45"/>
      <c r="G152" s="47"/>
      <c r="H152" s="169" t="s">
        <v>31</v>
      </c>
      <c r="I152" s="170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+IMPORTRANGE(""https://docs.google.com/spreadsheets/d/1uenpWDAH2bchvfvsSIjpd4bRU5D1faxJOaE"&amp;"34GQM5-c/edit?usp=sharing"",""รวมใต้!I152"")"),1070)</f>
        <v>1070</v>
      </c>
      <c r="J152" s="170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+IMPORTRANGE(""https://docs.google.com/spreadsheets/d/1uenpWDAH2bchvfvsSIjpd4bRU5D1faxJOaE"&amp;"34GQM5-c/edit?usp=sharing"",""รวมใต้!J152"")"),10)</f>
        <v>10</v>
      </c>
      <c r="K152" s="51">
        <f t="shared" ca="1" si="72"/>
        <v>0.93457943925233644</v>
      </c>
      <c r="L152" s="50"/>
      <c r="M152" s="50"/>
      <c r="N152" s="50"/>
      <c r="O152" s="50"/>
      <c r="P152" s="414"/>
    </row>
    <row r="153" spans="1:16" ht="20.25">
      <c r="A153" s="413"/>
      <c r="B153" s="45"/>
      <c r="C153" s="45"/>
      <c r="D153" s="45"/>
      <c r="E153" s="171"/>
      <c r="F153" s="45"/>
      <c r="G153" s="47"/>
      <c r="H153" s="169" t="s">
        <v>54</v>
      </c>
      <c r="I153" s="170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+IMPORTRANGE(""https://docs.google.com/spreadsheets/d/1uenpWDAH2bchvfvsSIjpd4bRU5D1faxJOaE"&amp;"34GQM5-c/edit?usp=sharing"",""รวมใต้!I153"")"),107)</f>
        <v>107</v>
      </c>
      <c r="J153" s="170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+IMPORTRANGE(""https://docs.google.com/spreadsheets/d/1uenpWDAH2bchvfvsSIjpd4bRU5D1faxJOaE"&amp;"34GQM5-c/edit?usp=sharing"",""รวมใต้!J153"")"),1)</f>
        <v>1</v>
      </c>
      <c r="K153" s="51">
        <f t="shared" ca="1" si="72"/>
        <v>0.93457943925233644</v>
      </c>
      <c r="L153" s="50"/>
      <c r="M153" s="50"/>
      <c r="N153" s="50"/>
      <c r="O153" s="50"/>
      <c r="P153" s="414"/>
    </row>
    <row r="154" spans="1:16" ht="20.25">
      <c r="A154" s="415"/>
      <c r="B154" s="172"/>
      <c r="C154" s="172"/>
      <c r="D154" s="172" t="s">
        <v>56</v>
      </c>
      <c r="E154" s="172"/>
      <c r="F154" s="172"/>
      <c r="G154" s="173"/>
      <c r="H154" s="174" t="s">
        <v>52</v>
      </c>
      <c r="I154" s="175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+IMPORTRANGE(""https://docs.google.com/spreadsheets/d/1uenpWDAH2bchvfvsSIjpd4bRU5D1faxJOaE"&amp;"34GQM5-c/edit?usp=sharing"",""รวมใต้!I154"")"),27)</f>
        <v>27</v>
      </c>
      <c r="J154" s="175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+IMPORTRANGE(""https://docs.google.com/spreadsheets/d/1uenpWDAH2bchvfvsSIjpd4bRU5D1faxJOaE"&amp;"34GQM5-c/edit?usp=sharing"",""รวมใต้!J154"")"),0)</f>
        <v>0</v>
      </c>
      <c r="K154" s="51">
        <f t="shared" ca="1" si="72"/>
        <v>0</v>
      </c>
      <c r="L154" s="176"/>
      <c r="M154" s="176"/>
      <c r="N154" s="176"/>
      <c r="O154" s="176"/>
      <c r="P154" s="416"/>
    </row>
    <row r="155" spans="1:16" ht="20.25">
      <c r="A155" s="417" t="s">
        <v>57</v>
      </c>
      <c r="B155" s="177"/>
      <c r="C155" s="178"/>
      <c r="D155" s="177"/>
      <c r="E155" s="177"/>
      <c r="F155" s="177"/>
      <c r="G155" s="177"/>
      <c r="H155" s="177"/>
      <c r="I155" s="179"/>
      <c r="J155" s="179"/>
      <c r="K155" s="180"/>
      <c r="L155" s="181"/>
      <c r="M155" s="181"/>
      <c r="N155" s="181"/>
      <c r="O155" s="181"/>
      <c r="P155" s="418"/>
    </row>
    <row r="156" spans="1:16" ht="20.25">
      <c r="A156" s="400"/>
      <c r="B156" s="29" t="s">
        <v>58</v>
      </c>
      <c r="C156" s="28"/>
      <c r="D156" s="28"/>
      <c r="E156" s="28"/>
      <c r="F156" s="28"/>
      <c r="G156" s="31"/>
      <c r="H156" s="182" t="s">
        <v>31</v>
      </c>
      <c r="I156" s="115">
        <f ca="1">I167</f>
        <v>330</v>
      </c>
      <c r="J156" s="115">
        <f>J168</f>
        <v>0</v>
      </c>
      <c r="K156" s="35">
        <f ca="1">IF(I156&gt;0,J156*100/I156,0)</f>
        <v>0</v>
      </c>
      <c r="L156" s="34"/>
      <c r="M156" s="34"/>
      <c r="N156" s="34"/>
      <c r="O156" s="34"/>
      <c r="P156" s="401"/>
    </row>
    <row r="157" spans="1:16" ht="20.25">
      <c r="A157" s="402"/>
      <c r="B157" s="38"/>
      <c r="C157" s="480" t="s">
        <v>14</v>
      </c>
      <c r="D157" s="116" t="s">
        <v>15</v>
      </c>
      <c r="E157" s="38"/>
      <c r="F157" s="38"/>
      <c r="G157" s="40"/>
      <c r="H157" s="117" t="s">
        <v>12</v>
      </c>
      <c r="I157" s="42"/>
      <c r="J157" s="42"/>
      <c r="K157" s="43"/>
      <c r="L157" s="118">
        <f t="shared" ref="L157:N157" ca="1" si="73">L158+L159</f>
        <v>3408600</v>
      </c>
      <c r="M157" s="118">
        <f t="shared" ca="1" si="73"/>
        <v>2663500</v>
      </c>
      <c r="N157" s="118">
        <f t="shared" ca="1" si="73"/>
        <v>221740.16</v>
      </c>
      <c r="O157" s="118">
        <f t="shared" ref="O157:O165" ca="1" si="74">IF(L157&gt;0,N157*100/L157,0)</f>
        <v>6.5053147919967138</v>
      </c>
      <c r="P157" s="403">
        <f t="shared" ref="P157:P165" ca="1" si="75">IF(M157&gt;0,N157*100/M157,0)</f>
        <v>8.3251421062511728</v>
      </c>
    </row>
    <row r="158" spans="1:16" ht="20.25">
      <c r="A158" s="402"/>
      <c r="B158" s="38"/>
      <c r="C158" s="38"/>
      <c r="D158" s="38"/>
      <c r="E158" s="38" t="s">
        <v>16</v>
      </c>
      <c r="F158" s="38"/>
      <c r="G158" s="40"/>
      <c r="H158" s="119" t="s">
        <v>12</v>
      </c>
      <c r="I158" s="42"/>
      <c r="J158" s="42"/>
      <c r="K158" s="43"/>
      <c r="L158" s="44">
        <f t="shared" ref="L158:N158" ca="1" si="76">L161+L164</f>
        <v>3309600</v>
      </c>
      <c r="M158" s="44">
        <f t="shared" ca="1" si="76"/>
        <v>2663500</v>
      </c>
      <c r="N158" s="44">
        <f t="shared" ca="1" si="76"/>
        <v>221740.16</v>
      </c>
      <c r="O158" s="44">
        <f t="shared" ca="1" si="74"/>
        <v>6.6999081459995162</v>
      </c>
      <c r="P158" s="369">
        <f t="shared" ca="1" si="75"/>
        <v>8.3251421062511728</v>
      </c>
    </row>
    <row r="159" spans="1:16" ht="20.25">
      <c r="A159" s="402"/>
      <c r="B159" s="38"/>
      <c r="C159" s="38"/>
      <c r="D159" s="38"/>
      <c r="E159" s="38" t="s">
        <v>17</v>
      </c>
      <c r="F159" s="38"/>
      <c r="G159" s="40"/>
      <c r="H159" s="119" t="s">
        <v>12</v>
      </c>
      <c r="I159" s="42"/>
      <c r="J159" s="42"/>
      <c r="K159" s="43"/>
      <c r="L159" s="44">
        <f t="shared" ref="L159:N159" ca="1" si="77">L162+L165</f>
        <v>99000</v>
      </c>
      <c r="M159" s="44">
        <f t="shared" ca="1" si="77"/>
        <v>0</v>
      </c>
      <c r="N159" s="44">
        <f t="shared" ca="1" si="77"/>
        <v>0</v>
      </c>
      <c r="O159" s="44">
        <f t="shared" ca="1" si="74"/>
        <v>0</v>
      </c>
      <c r="P159" s="369">
        <f t="shared" ca="1" si="75"/>
        <v>0</v>
      </c>
    </row>
    <row r="160" spans="1:16" ht="20.25">
      <c r="A160" s="402"/>
      <c r="B160" s="38"/>
      <c r="C160" s="38"/>
      <c r="D160" s="39" t="s">
        <v>18</v>
      </c>
      <c r="E160" s="38"/>
      <c r="F160" s="38"/>
      <c r="G160" s="40"/>
      <c r="H160" s="120" t="s">
        <v>12</v>
      </c>
      <c r="I160" s="121"/>
      <c r="J160" s="121"/>
      <c r="K160" s="122"/>
      <c r="L160" s="44">
        <f t="shared" ref="L160:N160" ca="1" si="78">L161+L162</f>
        <v>3408600</v>
      </c>
      <c r="M160" s="44">
        <f t="shared" ca="1" si="78"/>
        <v>2663500</v>
      </c>
      <c r="N160" s="44">
        <f t="shared" ca="1" si="78"/>
        <v>221740.16</v>
      </c>
      <c r="O160" s="44">
        <f t="shared" ca="1" si="74"/>
        <v>6.5053147919967138</v>
      </c>
      <c r="P160" s="369">
        <f t="shared" ca="1" si="75"/>
        <v>8.3251421062511728</v>
      </c>
    </row>
    <row r="161" spans="1:16" ht="20.25">
      <c r="A161" s="402"/>
      <c r="B161" s="38"/>
      <c r="C161" s="38"/>
      <c r="D161" s="38"/>
      <c r="E161" s="38" t="s">
        <v>32</v>
      </c>
      <c r="F161" s="38"/>
      <c r="G161" s="40"/>
      <c r="H161" s="120" t="s">
        <v>12</v>
      </c>
      <c r="I161" s="121"/>
      <c r="J161" s="121"/>
      <c r="K161" s="122"/>
      <c r="L161" s="44">
        <f ca="1">IFERROR(__xludf.DUMMYFUNCTION("IMPORTRANGE(""https://docs.google.com/spreadsheets/d/1-uDff_7J0KD5mKrp0Vvzr7lt3OU09vwQwhkpOPPYv2Y/edit?usp=sharing"",""งบพรบ!CA9"")"),3309600)</f>
        <v>3309600</v>
      </c>
      <c r="M161" s="44">
        <f ca="1">IFERROR(__xludf.DUMMYFUNCTION("IMPORTRANGE(""https://docs.google.com/spreadsheets/d/1-uDff_7J0KD5mKrp0Vvzr7lt3OU09vwQwhkpOPPYv2Y/edit?usp=sharing"",""งบพรบ!CF9"")"),2663500)</f>
        <v>2663500</v>
      </c>
      <c r="N161" s="44">
        <f ca="1">IFERROR(__xludf.DUMMYFUNCTION("IMPORTRANGE(""https://docs.google.com/spreadsheets/d/1-uDff_7J0KD5mKrp0Vvzr7lt3OU09vwQwhkpOPPYv2Y/edit?usp=sharing"",""งบพรบ!CH9"")"),221740.16)</f>
        <v>221740.16</v>
      </c>
      <c r="O161" s="44">
        <f t="shared" ca="1" si="74"/>
        <v>6.6999081459995162</v>
      </c>
      <c r="P161" s="369">
        <f t="shared" ca="1" si="75"/>
        <v>8.3251421062511728</v>
      </c>
    </row>
    <row r="162" spans="1:16" ht="20.25">
      <c r="A162" s="402"/>
      <c r="B162" s="38"/>
      <c r="C162" s="38"/>
      <c r="D162" s="38"/>
      <c r="E162" s="38" t="s">
        <v>33</v>
      </c>
      <c r="F162" s="38"/>
      <c r="G162" s="40"/>
      <c r="H162" s="120" t="s">
        <v>12</v>
      </c>
      <c r="I162" s="121"/>
      <c r="J162" s="121"/>
      <c r="K162" s="122"/>
      <c r="L162" s="44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+IMPORTRANGE(""https://docs.google.com/spreadsheets/d/1uenpWDAH2bchvfvsSIjpd4bRU5D1faxJOaE"&amp;"34GQM5-c/edit?usp=sharing"",""รวมใต้!L162"")"),99000)</f>
        <v>99000</v>
      </c>
      <c r="M162" s="44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+IMPORTRANGE(""https://docs.google.com/spreadsheets/d/1uenpWDAH2bchvfvsSIjpd4bRU5D1faxJOaE"&amp;"34GQM5-c/edit?usp=sharing"",""รวมใต้!M162"")"),0)</f>
        <v>0</v>
      </c>
      <c r="N162" s="44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+IMPORTRANGE(""https://docs.google.com/spreadsheets/d/1uenpWDAH2bchvfvsSIjpd4bRU5D1faxJOaE"&amp;"34GQM5-c/edit?usp=sharing"",""รวมใต้!N162"")"),0)</f>
        <v>0</v>
      </c>
      <c r="O162" s="44">
        <f t="shared" ca="1" si="74"/>
        <v>0</v>
      </c>
      <c r="P162" s="369">
        <f t="shared" ca="1" si="75"/>
        <v>0</v>
      </c>
    </row>
    <row r="163" spans="1:16" ht="20.25">
      <c r="A163" s="402"/>
      <c r="B163" s="38"/>
      <c r="C163" s="38"/>
      <c r="D163" s="39" t="s">
        <v>19</v>
      </c>
      <c r="E163" s="38"/>
      <c r="F163" s="38"/>
      <c r="G163" s="40"/>
      <c r="H163" s="123" t="s">
        <v>12</v>
      </c>
      <c r="I163" s="121"/>
      <c r="J163" s="121"/>
      <c r="K163" s="122"/>
      <c r="L163" s="44">
        <f t="shared" ref="L163:N163" ca="1" si="79">L164+L165</f>
        <v>0</v>
      </c>
      <c r="M163" s="44">
        <f t="shared" ca="1" si="79"/>
        <v>0</v>
      </c>
      <c r="N163" s="44">
        <f t="shared" ca="1" si="79"/>
        <v>0</v>
      </c>
      <c r="O163" s="44">
        <f t="shared" ca="1" si="74"/>
        <v>0</v>
      </c>
      <c r="P163" s="369">
        <f t="shared" ca="1" si="75"/>
        <v>0</v>
      </c>
    </row>
    <row r="164" spans="1:16" ht="20.25">
      <c r="A164" s="402"/>
      <c r="B164" s="38"/>
      <c r="C164" s="38"/>
      <c r="D164" s="38"/>
      <c r="E164" s="38" t="s">
        <v>16</v>
      </c>
      <c r="F164" s="38"/>
      <c r="G164" s="40"/>
      <c r="H164" s="120" t="s">
        <v>12</v>
      </c>
      <c r="I164" s="121"/>
      <c r="J164" s="121"/>
      <c r="K164" s="122"/>
      <c r="L164" s="44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+IMPORTRANGE(""https://docs.google.com/spreadsheets/d/1uenpWDAH2bchvfvsSIjpd4bRU5D1faxJOaE"&amp;"34GQM5-c/edit?usp=sharing"",""รวมใต้!L164"")"),0)</f>
        <v>0</v>
      </c>
      <c r="M164" s="44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+IMPORTRANGE(""https://docs.google.com/spreadsheets/d/1uenpWDAH2bchvfvsSIjpd4bRU5D1faxJOaE"&amp;"34GQM5-c/edit?usp=sharing"",""รวมใต้!M164"")"),0)</f>
        <v>0</v>
      </c>
      <c r="N164" s="44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+IMPORTRANGE(""https://docs.google.com/spreadsheets/d/1uenpWDAH2bchvfvsSIjpd4bRU5D1faxJOaE"&amp;"34GQM5-c/edit?usp=sharing"",""รวมใต้!N164"")"),0)</f>
        <v>0</v>
      </c>
      <c r="O164" s="44">
        <f t="shared" ca="1" si="74"/>
        <v>0</v>
      </c>
      <c r="P164" s="369">
        <f t="shared" ca="1" si="75"/>
        <v>0</v>
      </c>
    </row>
    <row r="165" spans="1:16" ht="20.25">
      <c r="A165" s="402"/>
      <c r="B165" s="38"/>
      <c r="C165" s="38"/>
      <c r="D165" s="38"/>
      <c r="E165" s="38" t="s">
        <v>17</v>
      </c>
      <c r="F165" s="38"/>
      <c r="G165" s="40"/>
      <c r="H165" s="123" t="s">
        <v>12</v>
      </c>
      <c r="I165" s="121"/>
      <c r="J165" s="121"/>
      <c r="K165" s="122"/>
      <c r="L165" s="44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+IMPORTRANGE(""https://docs.google.com/spreadsheets/d/1uenpWDAH2bchvfvsSIjpd4bRU5D1faxJOaE"&amp;"34GQM5-c/edit?usp=sharing"",""รวมใต้!L165"")"),0)</f>
        <v>0</v>
      </c>
      <c r="M165" s="44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+IMPORTRANGE(""https://docs.google.com/spreadsheets/d/1uenpWDAH2bchvfvsSIjpd4bRU5D1faxJOaE"&amp;"34GQM5-c/edit?usp=sharing"",""รวมใต้!M165"")"),0)</f>
        <v>0</v>
      </c>
      <c r="N165" s="44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+IMPORTRANGE(""https://docs.google.com/spreadsheets/d/1uenpWDAH2bchvfvsSIjpd4bRU5D1faxJOaE"&amp;"34GQM5-c/edit?usp=sharing"",""รวมใต้!N165"")"),0)</f>
        <v>0</v>
      </c>
      <c r="O165" s="44">
        <f t="shared" ca="1" si="74"/>
        <v>0</v>
      </c>
      <c r="P165" s="369">
        <f t="shared" ca="1" si="75"/>
        <v>0</v>
      </c>
    </row>
    <row r="166" spans="1:16" ht="20.25">
      <c r="A166" s="404"/>
      <c r="B166" s="124"/>
      <c r="C166" s="480" t="s">
        <v>14</v>
      </c>
      <c r="D166" s="125" t="s">
        <v>34</v>
      </c>
      <c r="E166" s="126"/>
      <c r="F166" s="126"/>
      <c r="G166" s="127"/>
      <c r="H166" s="167"/>
      <c r="I166" s="42"/>
      <c r="J166" s="42"/>
      <c r="K166" s="43"/>
      <c r="L166" s="43"/>
      <c r="M166" s="43"/>
      <c r="N166" s="43"/>
      <c r="O166" s="43"/>
      <c r="P166" s="412"/>
    </row>
    <row r="167" spans="1:16" ht="20.25">
      <c r="A167" s="402"/>
      <c r="B167" s="38"/>
      <c r="C167" s="38"/>
      <c r="D167" s="38" t="s">
        <v>59</v>
      </c>
      <c r="E167" s="38"/>
      <c r="F167" s="38"/>
      <c r="G167" s="40"/>
      <c r="H167" s="123" t="s">
        <v>31</v>
      </c>
      <c r="I167" s="145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+IMPORTRANGE(""https://docs.google.com/spreadsheets/d/1uenpWDAH2bchvfvsSIjpd4bRU5D1faxJOaE"&amp;"34GQM5-c/edit?usp=sharing"",""รวมใต้!I167"")"),330)</f>
        <v>330</v>
      </c>
      <c r="J167" s="145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+IMPORTRANGE(""https://docs.google.com/spreadsheets/d/1uenpWDAH2bchvfvsSIjpd4bRU5D1faxJOaE"&amp;"34GQM5-c/edit?usp=sharing"",""รวมใต้!J167"")"),20)</f>
        <v>20</v>
      </c>
      <c r="K167" s="44">
        <f t="shared" ref="K167:K169" ca="1" si="80">IF(I167&gt;0,J167*100/I167,0)</f>
        <v>6.0606060606060606</v>
      </c>
      <c r="L167" s="43"/>
      <c r="M167" s="43"/>
      <c r="N167" s="43"/>
      <c r="O167" s="43"/>
      <c r="P167" s="412"/>
    </row>
    <row r="168" spans="1:16" ht="20.25">
      <c r="A168" s="402"/>
      <c r="B168" s="38"/>
      <c r="C168" s="38"/>
      <c r="D168" s="38" t="s">
        <v>60</v>
      </c>
      <c r="E168" s="38"/>
      <c r="F168" s="38"/>
      <c r="G168" s="40"/>
      <c r="H168" s="123" t="s">
        <v>31</v>
      </c>
      <c r="I168" s="145">
        <f t="shared" ref="I168:I169" ca="1" si="81">I167</f>
        <v>330</v>
      </c>
      <c r="J168" s="145">
        <v>0</v>
      </c>
      <c r="K168" s="44">
        <f t="shared" ca="1" si="80"/>
        <v>0</v>
      </c>
      <c r="L168" s="43"/>
      <c r="M168" s="43"/>
      <c r="N168" s="43"/>
      <c r="O168" s="43"/>
      <c r="P168" s="412"/>
    </row>
    <row r="169" spans="1:16" ht="20.25">
      <c r="A169" s="419"/>
      <c r="B169" s="394"/>
      <c r="C169" s="394"/>
      <c r="D169" s="394" t="s">
        <v>61</v>
      </c>
      <c r="E169" s="394"/>
      <c r="F169" s="394"/>
      <c r="G169" s="99"/>
      <c r="H169" s="183" t="s">
        <v>31</v>
      </c>
      <c r="I169" s="184">
        <f t="shared" ca="1" si="81"/>
        <v>330</v>
      </c>
      <c r="J169" s="184">
        <v>0</v>
      </c>
      <c r="K169" s="103">
        <f t="shared" ca="1" si="80"/>
        <v>0</v>
      </c>
      <c r="L169" s="102"/>
      <c r="M169" s="102"/>
      <c r="N169" s="102"/>
      <c r="O169" s="102"/>
      <c r="P169" s="420"/>
    </row>
    <row r="170" spans="1:16" ht="20.25">
      <c r="A170" s="421" t="s">
        <v>62</v>
      </c>
      <c r="B170" s="185"/>
      <c r="C170" s="185"/>
      <c r="D170" s="185"/>
      <c r="E170" s="186"/>
      <c r="F170" s="186"/>
      <c r="G170" s="186"/>
      <c r="H170" s="186"/>
      <c r="I170" s="187"/>
      <c r="J170" s="187"/>
      <c r="K170" s="188"/>
      <c r="L170" s="188"/>
      <c r="M170" s="188"/>
      <c r="N170" s="188"/>
      <c r="O170" s="188"/>
      <c r="P170" s="422"/>
    </row>
    <row r="171" spans="1:16" ht="20.25">
      <c r="A171" s="423" t="s">
        <v>63</v>
      </c>
      <c r="B171" s="189"/>
      <c r="C171" s="189"/>
      <c r="D171" s="190"/>
      <c r="E171" s="190"/>
      <c r="F171" s="190"/>
      <c r="G171" s="191"/>
      <c r="H171" s="191"/>
      <c r="I171" s="192"/>
      <c r="J171" s="192"/>
      <c r="K171" s="193"/>
      <c r="L171" s="193"/>
      <c r="M171" s="193"/>
      <c r="N171" s="193"/>
      <c r="O171" s="193"/>
      <c r="P171" s="424"/>
    </row>
    <row r="172" spans="1:16" ht="20.25">
      <c r="A172" s="425"/>
      <c r="B172" s="194" t="s">
        <v>64</v>
      </c>
      <c r="C172" s="195"/>
      <c r="D172" s="126"/>
      <c r="E172" s="126"/>
      <c r="F172" s="126"/>
      <c r="G172" s="127"/>
      <c r="H172" s="196" t="s">
        <v>31</v>
      </c>
      <c r="I172" s="197">
        <f t="shared" ref="I172:J172" ca="1" si="82">I183+I184</f>
        <v>540</v>
      </c>
      <c r="J172" s="197">
        <f t="shared" ca="1" si="82"/>
        <v>133</v>
      </c>
      <c r="K172" s="198">
        <f ca="1">IF(I172&gt;0,J172*100/I172,0)</f>
        <v>24.62962962962963</v>
      </c>
      <c r="L172" s="199"/>
      <c r="M172" s="199"/>
      <c r="N172" s="199"/>
      <c r="O172" s="199"/>
      <c r="P172" s="426"/>
    </row>
    <row r="173" spans="1:16" ht="20.25">
      <c r="A173" s="402"/>
      <c r="B173" s="38"/>
      <c r="C173" s="480" t="s">
        <v>14</v>
      </c>
      <c r="D173" s="116" t="s">
        <v>15</v>
      </c>
      <c r="E173" s="38"/>
      <c r="F173" s="38"/>
      <c r="G173" s="40"/>
      <c r="H173" s="117" t="s">
        <v>12</v>
      </c>
      <c r="I173" s="42"/>
      <c r="J173" s="42"/>
      <c r="K173" s="43"/>
      <c r="L173" s="118">
        <f t="shared" ref="L173:N173" ca="1" si="83">L174+L175</f>
        <v>15015300</v>
      </c>
      <c r="M173" s="118">
        <f t="shared" ca="1" si="83"/>
        <v>11963100</v>
      </c>
      <c r="N173" s="118">
        <f t="shared" ca="1" si="83"/>
        <v>5916388.9800000004</v>
      </c>
      <c r="O173" s="118">
        <f t="shared" ref="O173:O181" ca="1" si="84">IF(L173&gt;0,N173*100/L173,0)</f>
        <v>39.402402749195822</v>
      </c>
      <c r="P173" s="403">
        <f t="shared" ref="P173:P181" ca="1" si="85">IF(M173&gt;0,N173*100/M173,0)</f>
        <v>49.455316598540513</v>
      </c>
    </row>
    <row r="174" spans="1:16" ht="20.25">
      <c r="A174" s="402"/>
      <c r="B174" s="38"/>
      <c r="C174" s="38"/>
      <c r="D174" s="38"/>
      <c r="E174" s="38" t="s">
        <v>16</v>
      </c>
      <c r="F174" s="38"/>
      <c r="G174" s="40"/>
      <c r="H174" s="119" t="s">
        <v>12</v>
      </c>
      <c r="I174" s="42"/>
      <c r="J174" s="42"/>
      <c r="K174" s="43"/>
      <c r="L174" s="44">
        <f t="shared" ref="L174:N174" ca="1" si="86">L177+L180</f>
        <v>13701400</v>
      </c>
      <c r="M174" s="44">
        <f t="shared" ca="1" si="86"/>
        <v>9457200</v>
      </c>
      <c r="N174" s="44">
        <f t="shared" ca="1" si="86"/>
        <v>4577207.9800000004</v>
      </c>
      <c r="O174" s="44">
        <f t="shared" ca="1" si="84"/>
        <v>33.406863386223307</v>
      </c>
      <c r="P174" s="369">
        <f t="shared" ca="1" si="85"/>
        <v>48.399187708835605</v>
      </c>
    </row>
    <row r="175" spans="1:16" ht="20.25">
      <c r="A175" s="402"/>
      <c r="B175" s="38"/>
      <c r="C175" s="38"/>
      <c r="D175" s="38"/>
      <c r="E175" s="38" t="s">
        <v>17</v>
      </c>
      <c r="F175" s="38"/>
      <c r="G175" s="40"/>
      <c r="H175" s="119" t="s">
        <v>12</v>
      </c>
      <c r="I175" s="42"/>
      <c r="J175" s="42"/>
      <c r="K175" s="43"/>
      <c r="L175" s="44">
        <f t="shared" ref="L175:N175" ca="1" si="87">L178+L181</f>
        <v>1313900</v>
      </c>
      <c r="M175" s="44">
        <f t="shared" ca="1" si="87"/>
        <v>2505900</v>
      </c>
      <c r="N175" s="44">
        <f t="shared" ca="1" si="87"/>
        <v>1339181</v>
      </c>
      <c r="O175" s="44">
        <f t="shared" ca="1" si="84"/>
        <v>101.92411903493417</v>
      </c>
      <c r="P175" s="369">
        <f t="shared" ca="1" si="85"/>
        <v>53.441118959256158</v>
      </c>
    </row>
    <row r="176" spans="1:16" ht="20.25">
      <c r="A176" s="402"/>
      <c r="B176" s="38"/>
      <c r="C176" s="38"/>
      <c r="D176" s="39" t="s">
        <v>18</v>
      </c>
      <c r="E176" s="38"/>
      <c r="F176" s="38"/>
      <c r="G176" s="40"/>
      <c r="H176" s="120" t="s">
        <v>12</v>
      </c>
      <c r="I176" s="121"/>
      <c r="J176" s="121"/>
      <c r="K176" s="122"/>
      <c r="L176" s="44">
        <f t="shared" ref="L176:N176" ca="1" si="88">L177+L178</f>
        <v>15015300</v>
      </c>
      <c r="M176" s="44">
        <f t="shared" ca="1" si="88"/>
        <v>11963100</v>
      </c>
      <c r="N176" s="44">
        <f t="shared" ca="1" si="88"/>
        <v>5916388.9800000004</v>
      </c>
      <c r="O176" s="44">
        <f t="shared" ca="1" si="84"/>
        <v>39.402402749195822</v>
      </c>
      <c r="P176" s="369">
        <f t="shared" ca="1" si="85"/>
        <v>49.455316598540513</v>
      </c>
    </row>
    <row r="177" spans="1:16" ht="20.25">
      <c r="A177" s="402"/>
      <c r="B177" s="38"/>
      <c r="C177" s="38"/>
      <c r="D177" s="38"/>
      <c r="E177" s="38" t="s">
        <v>32</v>
      </c>
      <c r="F177" s="38"/>
      <c r="G177" s="40"/>
      <c r="H177" s="120" t="s">
        <v>12</v>
      </c>
      <c r="I177" s="121"/>
      <c r="J177" s="121"/>
      <c r="K177" s="122"/>
      <c r="L177" s="44">
        <f ca="1">IFERROR(__xludf.DUMMYFUNCTION("IMPORTRANGE(""https://docs.google.com/spreadsheets/d/1-uDff_7J0KD5mKrp0Vvzr7lt3OU09vwQwhkpOPPYv2Y/edit?usp=sharing"",""งบพรบ!CK9"")"),13701400)</f>
        <v>13701400</v>
      </c>
      <c r="M177" s="44">
        <f ca="1">IFERROR(__xludf.DUMMYFUNCTION("IMPORTRANGE(""https://docs.google.com/spreadsheets/d/1-uDff_7J0KD5mKrp0Vvzr7lt3OU09vwQwhkpOPPYv2Y/edit?usp=sharing"",""งบพรบ!CP9"")"),9457200)</f>
        <v>9457200</v>
      </c>
      <c r="N177" s="44">
        <f ca="1">IFERROR(__xludf.DUMMYFUNCTION("IMPORTRANGE(""https://docs.google.com/spreadsheets/d/1-uDff_7J0KD5mKrp0Vvzr7lt3OU09vwQwhkpOPPYv2Y/edit?usp=sharing"",""งบพรบ!CR9"")"),4577207.98)</f>
        <v>4577207.9800000004</v>
      </c>
      <c r="O177" s="44">
        <f t="shared" ca="1" si="84"/>
        <v>33.406863386223307</v>
      </c>
      <c r="P177" s="369">
        <f t="shared" ca="1" si="85"/>
        <v>48.399187708835605</v>
      </c>
    </row>
    <row r="178" spans="1:16" ht="20.25">
      <c r="A178" s="402"/>
      <c r="B178" s="38"/>
      <c r="C178" s="38"/>
      <c r="D178" s="38"/>
      <c r="E178" s="38" t="s">
        <v>33</v>
      </c>
      <c r="F178" s="38"/>
      <c r="G178" s="40"/>
      <c r="H178" s="120" t="s">
        <v>12</v>
      </c>
      <c r="I178" s="121"/>
      <c r="J178" s="121"/>
      <c r="K178" s="122"/>
      <c r="L178" s="44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+IMPORTRANGE(""https://docs.google.com/spreadsheets/d/1uenpWDAH2bchvfvsSIjpd4bRU5D1faxJOaE"&amp;"34GQM5-c/edit?usp=sharing"",""รวมใต้!L178"")"),1313900)</f>
        <v>1313900</v>
      </c>
      <c r="M178" s="44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+IMPORTRANGE(""https://docs.google.com/spreadsheets/d/1uenpWDAH2bchvfvsSIjpd4bRU5D1faxJOaE"&amp;"34GQM5-c/edit?usp=sharing"",""รวมใต้!M178"")"),2505900)</f>
        <v>2505900</v>
      </c>
      <c r="N178" s="44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+IMPORTRANGE(""https://docs.google.com/spreadsheets/d/1uenpWDAH2bchvfvsSIjpd4bRU5D1faxJOaE"&amp;"34GQM5-c/edit?usp=sharing"",""รวมใต้!N178"")"),1339181)</f>
        <v>1339181</v>
      </c>
      <c r="O178" s="44">
        <f t="shared" ca="1" si="84"/>
        <v>101.92411903493417</v>
      </c>
      <c r="P178" s="369">
        <f t="shared" ca="1" si="85"/>
        <v>53.441118959256158</v>
      </c>
    </row>
    <row r="179" spans="1:16" ht="20.25">
      <c r="A179" s="402"/>
      <c r="B179" s="38"/>
      <c r="C179" s="38"/>
      <c r="D179" s="39" t="s">
        <v>19</v>
      </c>
      <c r="E179" s="38"/>
      <c r="F179" s="38"/>
      <c r="G179" s="40"/>
      <c r="H179" s="123" t="s">
        <v>12</v>
      </c>
      <c r="I179" s="121"/>
      <c r="J179" s="121"/>
      <c r="K179" s="122"/>
      <c r="L179" s="44">
        <f t="shared" ref="L179:N179" ca="1" si="89">L180+L181</f>
        <v>0</v>
      </c>
      <c r="M179" s="44">
        <f t="shared" ca="1" si="89"/>
        <v>0</v>
      </c>
      <c r="N179" s="44">
        <f t="shared" ca="1" si="89"/>
        <v>0</v>
      </c>
      <c r="O179" s="44">
        <f t="shared" ca="1" si="84"/>
        <v>0</v>
      </c>
      <c r="P179" s="369">
        <f t="shared" ca="1" si="85"/>
        <v>0</v>
      </c>
    </row>
    <row r="180" spans="1:16" ht="20.25">
      <c r="A180" s="402"/>
      <c r="B180" s="38"/>
      <c r="C180" s="38"/>
      <c r="D180" s="38"/>
      <c r="E180" s="38" t="s">
        <v>16</v>
      </c>
      <c r="F180" s="38"/>
      <c r="G180" s="40"/>
      <c r="H180" s="120" t="s">
        <v>12</v>
      </c>
      <c r="I180" s="121"/>
      <c r="J180" s="121"/>
      <c r="K180" s="122"/>
      <c r="L180" s="44">
        <f ca="1">IFERROR(__xludf.DUMMYFUNCTION("IMPORTRANGE(""https://docs.google.com/spreadsheets/d/12pGRKgvn2b31Uz_fjAl3XPzZUM_F2_O-zAHL2XHEPZg/edit?usp=sharing"",""รวมเหนือ!L180"")+IMPORTRANGE(""https://docs.google.com/spreadsheets/d/1c0UfJUA6nE6esVMy0kRcX_PENtt96DMxicQpqi3tips/edit?usp=sharing"","""&amp;"รวมตะวันออกเฉียงเหนือ!L180"")+IMPORTRANGE(""https://docs.google.com/spreadsheets/d/1iNWbYmj0agxPDl_yJgGu1eIremFPVMUuMWUKAjBzvrk/edit?usp=sharing"",""รวมกลาง!L180"")++IMPORTRANGE(""https://docs.google.com/spreadsheets/d/1uenpWDAH2bchvfvsSIjpd4bRU5D1faxJOaE"&amp;"34GQM5-c/edit?usp=sharing"",""รวมใต้!L180"")"),0)</f>
        <v>0</v>
      </c>
      <c r="M180" s="44">
        <f ca="1">IFERROR(__xludf.DUMMYFUNCTION("IMPORTRANGE(""https://docs.google.com/spreadsheets/d/12pGRKgvn2b31Uz_fjAl3XPzZUM_F2_O-zAHL2XHEPZg/edit?usp=sharing"",""รวมเหนือ!M180"")+IMPORTRANGE(""https://docs.google.com/spreadsheets/d/1c0UfJUA6nE6esVMy0kRcX_PENtt96DMxicQpqi3tips/edit?usp=sharing"","""&amp;"รวมตะวันออกเฉียงเหนือ!M180"")+IMPORTRANGE(""https://docs.google.com/spreadsheets/d/1iNWbYmj0agxPDl_yJgGu1eIremFPVMUuMWUKAjBzvrk/edit?usp=sharing"",""รวมกลาง!M180"")++IMPORTRANGE(""https://docs.google.com/spreadsheets/d/1uenpWDAH2bchvfvsSIjpd4bRU5D1faxJOaE"&amp;"34GQM5-c/edit?usp=sharing"",""รวมใต้!M180"")"),0)</f>
        <v>0</v>
      </c>
      <c r="N180" s="44">
        <f ca="1">IFERROR(__xludf.DUMMYFUNCTION("IMPORTRANGE(""https://docs.google.com/spreadsheets/d/12pGRKgvn2b31Uz_fjAl3XPzZUM_F2_O-zAHL2XHEPZg/edit?usp=sharing"",""รวมเหนือ!N180"")+IMPORTRANGE(""https://docs.google.com/spreadsheets/d/1c0UfJUA6nE6esVMy0kRcX_PENtt96DMxicQpqi3tips/edit?usp=sharing"","""&amp;"รวมตะวันออกเฉียงเหนือ!N180"")+IMPORTRANGE(""https://docs.google.com/spreadsheets/d/1iNWbYmj0agxPDl_yJgGu1eIremFPVMUuMWUKAjBzvrk/edit?usp=sharing"",""รวมกลาง!N180"")++IMPORTRANGE(""https://docs.google.com/spreadsheets/d/1uenpWDAH2bchvfvsSIjpd4bRU5D1faxJOaE"&amp;"34GQM5-c/edit?usp=sharing"",""รวมใต้!N180"")"),0)</f>
        <v>0</v>
      </c>
      <c r="O180" s="44">
        <f t="shared" ca="1" si="84"/>
        <v>0</v>
      </c>
      <c r="P180" s="369">
        <f t="shared" ca="1" si="85"/>
        <v>0</v>
      </c>
    </row>
    <row r="181" spans="1:16" ht="20.25">
      <c r="A181" s="402"/>
      <c r="B181" s="38"/>
      <c r="C181" s="38"/>
      <c r="D181" s="38"/>
      <c r="E181" s="38" t="s">
        <v>17</v>
      </c>
      <c r="F181" s="38"/>
      <c r="G181" s="40"/>
      <c r="H181" s="123" t="s">
        <v>12</v>
      </c>
      <c r="I181" s="121"/>
      <c r="J181" s="121"/>
      <c r="K181" s="122"/>
      <c r="L181" s="44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+IMPORTRANGE(""https://docs.google.com/spreadsheets/d/1uenpWDAH2bchvfvsSIjpd4bRU5D1faxJOaE"&amp;"34GQM5-c/edit?usp=sharing"",""รวมใต้!L181"")"),0)</f>
        <v>0</v>
      </c>
      <c r="M181" s="44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+IMPORTRANGE(""https://docs.google.com/spreadsheets/d/1uenpWDAH2bchvfvsSIjpd4bRU5D1faxJOaE"&amp;"34GQM5-c/edit?usp=sharing"",""รวมใต้!M181"")"),0)</f>
        <v>0</v>
      </c>
      <c r="N181" s="44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+IMPORTRANGE(""https://docs.google.com/spreadsheets/d/1uenpWDAH2bchvfvsSIjpd4bRU5D1faxJOaE"&amp;"34GQM5-c/edit?usp=sharing"",""รวมใต้!N181"")"),0)</f>
        <v>0</v>
      </c>
      <c r="O181" s="44">
        <f t="shared" ca="1" si="84"/>
        <v>0</v>
      </c>
      <c r="P181" s="369">
        <f t="shared" ca="1" si="85"/>
        <v>0</v>
      </c>
    </row>
    <row r="182" spans="1:16" ht="20.25">
      <c r="A182" s="404"/>
      <c r="B182" s="124"/>
      <c r="C182" s="480" t="s">
        <v>14</v>
      </c>
      <c r="D182" s="125" t="s">
        <v>34</v>
      </c>
      <c r="E182" s="126"/>
      <c r="F182" s="126"/>
      <c r="G182" s="127"/>
      <c r="H182" s="167"/>
      <c r="I182" s="42"/>
      <c r="J182" s="42"/>
      <c r="K182" s="43"/>
      <c r="L182" s="43"/>
      <c r="M182" s="43"/>
      <c r="N182" s="43"/>
      <c r="O182" s="43"/>
      <c r="P182" s="412"/>
    </row>
    <row r="183" spans="1:16" ht="20.25">
      <c r="A183" s="427"/>
      <c r="B183" s="38"/>
      <c r="C183" s="200"/>
      <c r="D183" s="200" t="s">
        <v>65</v>
      </c>
      <c r="E183" s="38"/>
      <c r="F183" s="38"/>
      <c r="G183" s="40"/>
      <c r="H183" s="201" t="s">
        <v>31</v>
      </c>
      <c r="I183" s="145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+IMPORTRANGE(""https://docs.google.com/spreadsheets/d/1uenpWDAH2bchvfvsSIjpd4bRU5D1faxJOaE"&amp;"34GQM5-c/edit?usp=sharing"",""รวมใต้!I183"")"),470)</f>
        <v>470</v>
      </c>
      <c r="J183" s="145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+IMPORTRANGE(""https://docs.google.com/spreadsheets/d/1uenpWDAH2bchvfvsSIjpd4bRU5D1faxJOaE"&amp;"34GQM5-c/edit?usp=sharing"",""รวมใต้!J183"")"),133)</f>
        <v>133</v>
      </c>
      <c r="K183" s="44">
        <f t="shared" ref="K183:K185" ca="1" si="90">IF(I183&gt;0,J183*100/I183,0)</f>
        <v>28.297872340425531</v>
      </c>
      <c r="L183" s="43"/>
      <c r="M183" s="43"/>
      <c r="N183" s="43"/>
      <c r="O183" s="43"/>
      <c r="P183" s="412"/>
    </row>
    <row r="184" spans="1:16" ht="20.25">
      <c r="A184" s="427"/>
      <c r="B184" s="200"/>
      <c r="C184" s="200"/>
      <c r="D184" s="200" t="s">
        <v>66</v>
      </c>
      <c r="E184" s="38"/>
      <c r="F184" s="38"/>
      <c r="G184" s="40"/>
      <c r="H184" s="201" t="s">
        <v>31</v>
      </c>
      <c r="I184" s="145">
        <v>70</v>
      </c>
      <c r="J184" s="145">
        <v>0</v>
      </c>
      <c r="K184" s="44">
        <f t="shared" si="90"/>
        <v>0</v>
      </c>
      <c r="L184" s="43"/>
      <c r="M184" s="43"/>
      <c r="N184" s="43"/>
      <c r="O184" s="43"/>
      <c r="P184" s="412"/>
    </row>
    <row r="185" spans="1:16" ht="20.25">
      <c r="A185" s="425"/>
      <c r="B185" s="194" t="s">
        <v>67</v>
      </c>
      <c r="C185" s="195"/>
      <c r="D185" s="126"/>
      <c r="E185" s="126"/>
      <c r="F185" s="126"/>
      <c r="G185" s="127"/>
      <c r="H185" s="196" t="s">
        <v>31</v>
      </c>
      <c r="I185" s="197">
        <f t="shared" ref="I185:J185" ca="1" si="91">I230+I231</f>
        <v>0</v>
      </c>
      <c r="J185" s="197">
        <f t="shared" ca="1" si="91"/>
        <v>0</v>
      </c>
      <c r="K185" s="198">
        <f t="shared" ca="1" si="90"/>
        <v>0</v>
      </c>
      <c r="L185" s="199"/>
      <c r="M185" s="199"/>
      <c r="N185" s="199"/>
      <c r="O185" s="199"/>
      <c r="P185" s="426"/>
    </row>
    <row r="186" spans="1:16" ht="20.25">
      <c r="A186" s="402"/>
      <c r="B186" s="38"/>
      <c r="C186" s="480" t="s">
        <v>14</v>
      </c>
      <c r="D186" s="116" t="s">
        <v>15</v>
      </c>
      <c r="E186" s="38"/>
      <c r="F186" s="38"/>
      <c r="G186" s="40"/>
      <c r="H186" s="117" t="s">
        <v>12</v>
      </c>
      <c r="I186" s="42"/>
      <c r="J186" s="42"/>
      <c r="K186" s="43"/>
      <c r="L186" s="118">
        <f t="shared" ref="L186:N186" ca="1" si="92">L187+L188</f>
        <v>14194800</v>
      </c>
      <c r="M186" s="118">
        <f t="shared" ca="1" si="92"/>
        <v>11324100</v>
      </c>
      <c r="N186" s="118">
        <f t="shared" ca="1" si="92"/>
        <v>2556660.0499999998</v>
      </c>
      <c r="O186" s="118">
        <f t="shared" ref="O186:O194" ca="1" si="93">IF(L186&gt;0,N186*100/L186,0)</f>
        <v>18.011243906219178</v>
      </c>
      <c r="P186" s="403">
        <f t="shared" ref="P186:P194" ca="1" si="94">IF(M186&gt;0,N186*100/M186,0)</f>
        <v>22.57715889121431</v>
      </c>
    </row>
    <row r="187" spans="1:16" ht="20.25">
      <c r="A187" s="402"/>
      <c r="B187" s="38"/>
      <c r="C187" s="38"/>
      <c r="D187" s="38"/>
      <c r="E187" s="38" t="s">
        <v>16</v>
      </c>
      <c r="F187" s="38"/>
      <c r="G187" s="40"/>
      <c r="H187" s="119" t="s">
        <v>12</v>
      </c>
      <c r="I187" s="42"/>
      <c r="J187" s="42"/>
      <c r="K187" s="43"/>
      <c r="L187" s="44">
        <f t="shared" ref="L187:N187" ca="1" si="95">L190+L193</f>
        <v>2023400</v>
      </c>
      <c r="M187" s="44">
        <f t="shared" ca="1" si="95"/>
        <v>2410975</v>
      </c>
      <c r="N187" s="44">
        <f t="shared" ca="1" si="95"/>
        <v>316772.71000000002</v>
      </c>
      <c r="O187" s="44">
        <f t="shared" ca="1" si="93"/>
        <v>15.655466541464863</v>
      </c>
      <c r="P187" s="369">
        <f t="shared" ca="1" si="94"/>
        <v>13.13878036893788</v>
      </c>
    </row>
    <row r="188" spans="1:16" ht="20.25">
      <c r="A188" s="402"/>
      <c r="B188" s="38"/>
      <c r="C188" s="38"/>
      <c r="D188" s="38"/>
      <c r="E188" s="38" t="s">
        <v>17</v>
      </c>
      <c r="F188" s="38"/>
      <c r="G188" s="40"/>
      <c r="H188" s="119" t="s">
        <v>12</v>
      </c>
      <c r="I188" s="42"/>
      <c r="J188" s="42"/>
      <c r="K188" s="43"/>
      <c r="L188" s="44">
        <f t="shared" ref="L188:N188" ca="1" si="96">L191+L194</f>
        <v>12171400</v>
      </c>
      <c r="M188" s="44">
        <f t="shared" ca="1" si="96"/>
        <v>8913125</v>
      </c>
      <c r="N188" s="44">
        <f t="shared" ca="1" si="96"/>
        <v>2239887.34</v>
      </c>
      <c r="O188" s="44">
        <f t="shared" ca="1" si="93"/>
        <v>18.402873457449431</v>
      </c>
      <c r="P188" s="369">
        <f t="shared" ca="1" si="94"/>
        <v>25.130213477315756</v>
      </c>
    </row>
    <row r="189" spans="1:16" ht="20.25">
      <c r="A189" s="402"/>
      <c r="B189" s="38"/>
      <c r="C189" s="38"/>
      <c r="D189" s="39" t="s">
        <v>18</v>
      </c>
      <c r="E189" s="38"/>
      <c r="F189" s="38"/>
      <c r="G189" s="40"/>
      <c r="H189" s="120" t="s">
        <v>12</v>
      </c>
      <c r="I189" s="121"/>
      <c r="J189" s="121"/>
      <c r="K189" s="122"/>
      <c r="L189" s="44">
        <f t="shared" ref="L189:N189" ca="1" si="97">L190+L191</f>
        <v>14194800</v>
      </c>
      <c r="M189" s="44">
        <f t="shared" ca="1" si="97"/>
        <v>11324100</v>
      </c>
      <c r="N189" s="44">
        <f t="shared" ca="1" si="97"/>
        <v>2556660.0499999998</v>
      </c>
      <c r="O189" s="44">
        <f t="shared" ca="1" si="93"/>
        <v>18.011243906219178</v>
      </c>
      <c r="P189" s="369">
        <f t="shared" ca="1" si="94"/>
        <v>22.57715889121431</v>
      </c>
    </row>
    <row r="190" spans="1:16" ht="20.25">
      <c r="A190" s="402"/>
      <c r="B190" s="38"/>
      <c r="C190" s="38"/>
      <c r="D190" s="38"/>
      <c r="E190" s="38" t="s">
        <v>32</v>
      </c>
      <c r="F190" s="38"/>
      <c r="G190" s="40"/>
      <c r="H190" s="120" t="s">
        <v>12</v>
      </c>
      <c r="I190" s="121"/>
      <c r="J190" s="121"/>
      <c r="K190" s="122"/>
      <c r="L190" s="44">
        <f ca="1">IFERROR(__xludf.DUMMYFUNCTION("IMPORTRANGE(""https://docs.google.com/spreadsheets/d/1-uDff_7J0KD5mKrp0Vvzr7lt3OU09vwQwhkpOPPYv2Y/edit?usp=sharing"",""งบพรบ!CU9"")"),2023400)</f>
        <v>2023400</v>
      </c>
      <c r="M190" s="44">
        <f ca="1">IFERROR(__xludf.DUMMYFUNCTION("IMPORTRANGE(""https://docs.google.com/spreadsheets/d/1-uDff_7J0KD5mKrp0Vvzr7lt3OU09vwQwhkpOPPYv2Y/edit?usp=sharing"",""งบพรบ!CZ9"")"),2410975)</f>
        <v>2410975</v>
      </c>
      <c r="N190" s="44">
        <f ca="1">IFERROR(__xludf.DUMMYFUNCTION("IMPORTRANGE(""https://docs.google.com/spreadsheets/d/1-uDff_7J0KD5mKrp0Vvzr7lt3OU09vwQwhkpOPPYv2Y/edit?usp=sharing"",""งบพรบ!DB9"")"),316772.71)</f>
        <v>316772.71000000002</v>
      </c>
      <c r="O190" s="44">
        <f t="shared" ca="1" si="93"/>
        <v>15.655466541464863</v>
      </c>
      <c r="P190" s="369">
        <f t="shared" ca="1" si="94"/>
        <v>13.13878036893788</v>
      </c>
    </row>
    <row r="191" spans="1:16" ht="20.25">
      <c r="A191" s="402"/>
      <c r="B191" s="38"/>
      <c r="C191" s="38"/>
      <c r="D191" s="38"/>
      <c r="E191" s="38" t="s">
        <v>33</v>
      </c>
      <c r="F191" s="38"/>
      <c r="G191" s="40"/>
      <c r="H191" s="120" t="s">
        <v>12</v>
      </c>
      <c r="I191" s="121"/>
      <c r="J191" s="121"/>
      <c r="K191" s="122"/>
      <c r="L191" s="44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+IMPORTRANGE(""https://docs.google.com/spreadsheets/d/1uenpWDAH2bchvfvsSIjpd4bRU5D1faxJOaE"&amp;"34GQM5-c/edit?usp=sharing"",""รวมใต้!L191"")"),12171400)</f>
        <v>12171400</v>
      </c>
      <c r="M191" s="44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+IMPORTRANGE(""https://docs.google.com/spreadsheets/d/1uenpWDAH2bchvfvsSIjpd4bRU5D1faxJOaE"&amp;"34GQM5-c/edit?usp=sharing"",""รวมใต้!M191"")"),8913125)</f>
        <v>8913125</v>
      </c>
      <c r="N191" s="44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+IMPORTRANGE(""https://docs.google.com/spreadsheets/d/1uenpWDAH2bchvfvsSIjpd4bRU5D1faxJOaE"&amp;"34GQM5-c/edit?usp=sharing"",""รวมใต้!N191"")"),2239887.34)</f>
        <v>2239887.34</v>
      </c>
      <c r="O191" s="44">
        <f t="shared" ca="1" si="93"/>
        <v>18.402873457449431</v>
      </c>
      <c r="P191" s="369">
        <f t="shared" ca="1" si="94"/>
        <v>25.130213477315756</v>
      </c>
    </row>
    <row r="192" spans="1:16" ht="20.25">
      <c r="A192" s="402"/>
      <c r="B192" s="38"/>
      <c r="C192" s="38"/>
      <c r="D192" s="39" t="s">
        <v>19</v>
      </c>
      <c r="E192" s="38"/>
      <c r="F192" s="38"/>
      <c r="G192" s="40"/>
      <c r="H192" s="123" t="s">
        <v>12</v>
      </c>
      <c r="I192" s="121"/>
      <c r="J192" s="121"/>
      <c r="K192" s="122"/>
      <c r="L192" s="44">
        <f t="shared" ref="L192:N192" ca="1" si="98">L193+L194</f>
        <v>0</v>
      </c>
      <c r="M192" s="44">
        <f t="shared" ca="1" si="98"/>
        <v>0</v>
      </c>
      <c r="N192" s="44">
        <f t="shared" ca="1" si="98"/>
        <v>0</v>
      </c>
      <c r="O192" s="44">
        <f t="shared" ca="1" si="93"/>
        <v>0</v>
      </c>
      <c r="P192" s="369">
        <f t="shared" ca="1" si="94"/>
        <v>0</v>
      </c>
    </row>
    <row r="193" spans="1:16" ht="20.25">
      <c r="A193" s="402"/>
      <c r="B193" s="38"/>
      <c r="C193" s="38"/>
      <c r="D193" s="38"/>
      <c r="E193" s="38" t="s">
        <v>16</v>
      </c>
      <c r="F193" s="38"/>
      <c r="G193" s="40"/>
      <c r="H193" s="120" t="s">
        <v>12</v>
      </c>
      <c r="I193" s="121"/>
      <c r="J193" s="121"/>
      <c r="K193" s="122"/>
      <c r="L193" s="44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+IMPORTRANGE(""https://docs.google.com/spreadsheets/d/1uenpWDAH2bchvfvsSIjpd4bRU5D1faxJOaE"&amp;"34GQM5-c/edit?usp=sharing"",""รวมใต้!L193"")"),0)</f>
        <v>0</v>
      </c>
      <c r="M193" s="44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+IMPORTRANGE(""https://docs.google.com/spreadsheets/d/1uenpWDAH2bchvfvsSIjpd4bRU5D1faxJOaE"&amp;"34GQM5-c/edit?usp=sharing"",""รวมใต้!M193"")"),0)</f>
        <v>0</v>
      </c>
      <c r="N193" s="44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+IMPORTRANGE(""https://docs.google.com/spreadsheets/d/1uenpWDAH2bchvfvsSIjpd4bRU5D1faxJOaE"&amp;"34GQM5-c/edit?usp=sharing"",""รวมใต้!N193"")"),0)</f>
        <v>0</v>
      </c>
      <c r="O193" s="44">
        <f t="shared" ca="1" si="93"/>
        <v>0</v>
      </c>
      <c r="P193" s="369">
        <f t="shared" ca="1" si="94"/>
        <v>0</v>
      </c>
    </row>
    <row r="194" spans="1:16" ht="20.25">
      <c r="A194" s="402"/>
      <c r="B194" s="38"/>
      <c r="C194" s="38"/>
      <c r="D194" s="38"/>
      <c r="E194" s="38" t="s">
        <v>17</v>
      </c>
      <c r="F194" s="38"/>
      <c r="G194" s="40"/>
      <c r="H194" s="123" t="s">
        <v>12</v>
      </c>
      <c r="I194" s="121"/>
      <c r="J194" s="121"/>
      <c r="K194" s="122"/>
      <c r="L194" s="44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+IMPORTRANGE(""https://docs.google.com/spreadsheets/d/1uenpWDAH2bchvfvsSIjpd4bRU5D1faxJOaE"&amp;"34GQM5-c/edit?usp=sharing"",""รวมใต้!L194"")"),0)</f>
        <v>0</v>
      </c>
      <c r="M194" s="44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+IMPORTRANGE(""https://docs.google.com/spreadsheets/d/1uenpWDAH2bchvfvsSIjpd4bRU5D1faxJOaE"&amp;"34GQM5-c/edit?usp=sharing"",""รวมใต้!M194"")"),0)</f>
        <v>0</v>
      </c>
      <c r="N194" s="44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+IMPORTRANGE(""https://docs.google.com/spreadsheets/d/1uenpWDAH2bchvfvsSIjpd4bRU5D1faxJOaE"&amp;"34GQM5-c/edit?usp=sharing"",""รวมใต้!N194"")"),0)</f>
        <v>0</v>
      </c>
      <c r="O194" s="44">
        <f t="shared" ca="1" si="93"/>
        <v>0</v>
      </c>
      <c r="P194" s="369">
        <f t="shared" ca="1" si="94"/>
        <v>0</v>
      </c>
    </row>
    <row r="195" spans="1:16" ht="20.25">
      <c r="A195" s="428"/>
      <c r="B195" s="202"/>
      <c r="C195" s="203" t="s">
        <v>68</v>
      </c>
      <c r="D195" s="204"/>
      <c r="E195" s="204"/>
      <c r="F195" s="204"/>
      <c r="G195" s="205"/>
      <c r="H195" s="206" t="s">
        <v>69</v>
      </c>
      <c r="I195" s="207">
        <f t="shared" ref="I195:J195" ca="1" si="99">I198</f>
        <v>288</v>
      </c>
      <c r="J195" s="207">
        <f t="shared" ca="1" si="99"/>
        <v>25</v>
      </c>
      <c r="K195" s="208">
        <f ca="1">IF(I195&gt;0,J195*100/I195,0)</f>
        <v>8.6805555555555554</v>
      </c>
      <c r="L195" s="209"/>
      <c r="M195" s="209"/>
      <c r="N195" s="209"/>
      <c r="O195" s="209"/>
      <c r="P195" s="429"/>
    </row>
    <row r="196" spans="1:16" ht="20.25">
      <c r="A196" s="402"/>
      <c r="B196" s="38"/>
      <c r="C196" s="480" t="s">
        <v>14</v>
      </c>
      <c r="D196" s="210" t="s">
        <v>15</v>
      </c>
      <c r="E196" s="38"/>
      <c r="F196" s="38"/>
      <c r="G196" s="40"/>
      <c r="H196" s="211" t="s">
        <v>12</v>
      </c>
      <c r="I196" s="42"/>
      <c r="J196" s="42"/>
      <c r="K196" s="43"/>
      <c r="L196" s="118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+IMPORTRANGE(""https://docs.google.com/spreadsheets/d/1uenpWDAH2bchvfvsSIjpd4bRU5D1faxJOaE"&amp;"34GQM5-c/edit?usp=sharing"",""รวมใต้!L196"")"),432000)</f>
        <v>432000</v>
      </c>
      <c r="M196" s="43"/>
      <c r="N196" s="118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+IMPORTRANGE(""https://docs.google.com/spreadsheets/d/1uenpWDAH2bchvfvsSIjpd4bRU5D1faxJOaE"&amp;"34GQM5-c/edit?usp=sharing"",""รวมใต้!N196"")"),11250)</f>
        <v>11250</v>
      </c>
      <c r="O196" s="118">
        <f ca="1">IF(L196&gt;0,N196*100/L196,0)</f>
        <v>2.6041666666666665</v>
      </c>
      <c r="P196" s="403"/>
    </row>
    <row r="197" spans="1:16" ht="20.25">
      <c r="A197" s="404"/>
      <c r="B197" s="124"/>
      <c r="C197" s="480" t="s">
        <v>14</v>
      </c>
      <c r="D197" s="125" t="s">
        <v>34</v>
      </c>
      <c r="E197" s="126"/>
      <c r="F197" s="126"/>
      <c r="G197" s="127"/>
      <c r="H197" s="128"/>
      <c r="I197" s="42"/>
      <c r="J197" s="42"/>
      <c r="K197" s="43"/>
      <c r="L197" s="43"/>
      <c r="M197" s="43"/>
      <c r="N197" s="43"/>
      <c r="O197" s="43"/>
      <c r="P197" s="412"/>
    </row>
    <row r="198" spans="1:16" ht="20.25">
      <c r="A198" s="404"/>
      <c r="B198" s="124"/>
      <c r="C198" s="124"/>
      <c r="D198" s="130" t="s">
        <v>70</v>
      </c>
      <c r="E198" s="130"/>
      <c r="F198" s="130"/>
      <c r="G198" s="128"/>
      <c r="H198" s="134" t="s">
        <v>69</v>
      </c>
      <c r="I198" s="145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+IMPORTRANGE(""https://docs.google.com/spreadsheets/d/1uenpWDAH2bchvfvsSIjpd4bRU5D1faxJOaE"&amp;"34GQM5-c/edit?usp=sharing"",""รวมใต้!I198"")"),288)</f>
        <v>288</v>
      </c>
      <c r="J198" s="145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+IMPORTRANGE(""https://docs.google.com/spreadsheets/d/1uenpWDAH2bchvfvsSIjpd4bRU5D1faxJOaE"&amp;"34GQM5-c/edit?usp=sharing"",""รวมใต้!J198"")"),25)</f>
        <v>25</v>
      </c>
      <c r="K198" s="44">
        <f ca="1">IF(I198&gt;0,J198*100/I198,0)</f>
        <v>8.6805555555555554</v>
      </c>
      <c r="L198" s="43"/>
      <c r="M198" s="43"/>
      <c r="N198" s="43"/>
      <c r="O198" s="43"/>
      <c r="P198" s="412"/>
    </row>
    <row r="199" spans="1:16" ht="20.25">
      <c r="A199" s="404"/>
      <c r="B199" s="124"/>
      <c r="C199" s="124"/>
      <c r="D199" s="130" t="s">
        <v>71</v>
      </c>
      <c r="E199" s="130"/>
      <c r="F199" s="130"/>
      <c r="G199" s="128"/>
      <c r="H199" s="212" t="s">
        <v>31</v>
      </c>
      <c r="I199" s="42"/>
      <c r="J199" s="132">
        <f ca="1">J200+J201</f>
        <v>676</v>
      </c>
      <c r="K199" s="43"/>
      <c r="L199" s="43"/>
      <c r="M199" s="43"/>
      <c r="N199" s="43"/>
      <c r="O199" s="43"/>
      <c r="P199" s="412"/>
    </row>
    <row r="200" spans="1:16" ht="20.25">
      <c r="A200" s="404"/>
      <c r="B200" s="124"/>
      <c r="C200" s="124"/>
      <c r="D200" s="124"/>
      <c r="E200" s="130" t="s">
        <v>72</v>
      </c>
      <c r="F200" s="130"/>
      <c r="G200" s="128"/>
      <c r="H200" s="201" t="s">
        <v>31</v>
      </c>
      <c r="I200" s="42"/>
      <c r="J200" s="145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+IMPORTRANGE(""https://docs.google.com/spreadsheets/d/1uenpWDAH2bchvfvsSIjpd4bRU5D1faxJOaE"&amp;"34GQM5-c/edit?usp=sharing"",""รวมใต้!J200"")"),676)</f>
        <v>676</v>
      </c>
      <c r="K200" s="43"/>
      <c r="L200" s="43"/>
      <c r="M200" s="43"/>
      <c r="N200" s="43"/>
      <c r="O200" s="43"/>
      <c r="P200" s="412"/>
    </row>
    <row r="201" spans="1:16" ht="20.25">
      <c r="A201" s="404"/>
      <c r="B201" s="124"/>
      <c r="C201" s="124"/>
      <c r="D201" s="124"/>
      <c r="E201" s="130" t="s">
        <v>73</v>
      </c>
      <c r="F201" s="130"/>
      <c r="G201" s="128"/>
      <c r="H201" s="201" t="s">
        <v>31</v>
      </c>
      <c r="I201" s="42"/>
      <c r="J201" s="145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+IMPORTRANGE(""https://docs.google.com/spreadsheets/d/1uenpWDAH2bchvfvsSIjpd4bRU5D1faxJOaE"&amp;"34GQM5-c/edit?usp=sharing"",""รวมใต้!J201"")"),0)</f>
        <v>0</v>
      </c>
      <c r="K201" s="43"/>
      <c r="L201" s="43"/>
      <c r="M201" s="43"/>
      <c r="N201" s="43"/>
      <c r="O201" s="43"/>
      <c r="P201" s="412"/>
    </row>
    <row r="202" spans="1:16" ht="20.25">
      <c r="A202" s="428"/>
      <c r="B202" s="202"/>
      <c r="C202" s="203" t="s">
        <v>74</v>
      </c>
      <c r="D202" s="204"/>
      <c r="E202" s="204"/>
      <c r="F202" s="204"/>
      <c r="G202" s="205"/>
      <c r="H202" s="213" t="s">
        <v>75</v>
      </c>
      <c r="I202" s="207">
        <f t="shared" ref="I202:J202" ca="1" si="100">I209</f>
        <v>138</v>
      </c>
      <c r="J202" s="207">
        <f t="shared" ca="1" si="100"/>
        <v>8</v>
      </c>
      <c r="K202" s="208">
        <f ca="1">IF(I202&gt;0,J202*100/I202,0)</f>
        <v>5.7971014492753623</v>
      </c>
      <c r="L202" s="209"/>
      <c r="M202" s="209"/>
      <c r="N202" s="209"/>
      <c r="O202" s="209"/>
      <c r="P202" s="429"/>
    </row>
    <row r="203" spans="1:16" ht="20.25">
      <c r="A203" s="402"/>
      <c r="B203" s="38"/>
      <c r="C203" s="480" t="s">
        <v>14</v>
      </c>
      <c r="D203" s="210" t="s">
        <v>15</v>
      </c>
      <c r="E203" s="38"/>
      <c r="F203" s="38"/>
      <c r="G203" s="40"/>
      <c r="H203" s="211" t="s">
        <v>12</v>
      </c>
      <c r="I203" s="121"/>
      <c r="J203" s="121"/>
      <c r="K203" s="122"/>
      <c r="L203" s="118">
        <f ca="1">L204+L205+L206+L207</f>
        <v>1894000</v>
      </c>
      <c r="M203" s="43"/>
      <c r="N203" s="118">
        <f ca="1">N204+N205+N206+N207</f>
        <v>82367</v>
      </c>
      <c r="O203" s="118">
        <f ca="1">IF(L203&gt;0,N203*100/L203,0)</f>
        <v>4.3488384371700102</v>
      </c>
      <c r="P203" s="403"/>
    </row>
    <row r="204" spans="1:16" ht="20.25">
      <c r="A204" s="402"/>
      <c r="B204" s="200"/>
      <c r="C204" s="38"/>
      <c r="D204" s="214" t="s">
        <v>76</v>
      </c>
      <c r="E204" s="38"/>
      <c r="F204" s="38"/>
      <c r="G204" s="40"/>
      <c r="H204" s="120" t="s">
        <v>12</v>
      </c>
      <c r="I204" s="121"/>
      <c r="J204" s="121"/>
      <c r="K204" s="122"/>
      <c r="L204" s="44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+IMPORTRANGE(""https://docs.google.com/spreadsheets/d/1uenpWDAH2bchvfvsSIjpd4bRU5D1faxJOaE"&amp;"34GQM5-c/edit?usp=sharing"",""รวมใต้!L204"")"),138000)</f>
        <v>138000</v>
      </c>
      <c r="M204" s="43"/>
      <c r="N204" s="44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+IMPORTRANGE(""https://docs.google.com/spreadsheets/d/1uenpWDAH2bchvfvsSIjpd4bRU5D1faxJOaE"&amp;"34GQM5-c/edit?usp=sharing"",""รวมใต้!N204"")"),7360)</f>
        <v>7360</v>
      </c>
      <c r="O204" s="136"/>
      <c r="P204" s="412"/>
    </row>
    <row r="205" spans="1:16" ht="20.25">
      <c r="A205" s="427"/>
      <c r="B205" s="200"/>
      <c r="C205" s="38"/>
      <c r="D205" s="215" t="s">
        <v>77</v>
      </c>
      <c r="E205" s="38"/>
      <c r="F205" s="38"/>
      <c r="G205" s="40"/>
      <c r="H205" s="41" t="s">
        <v>12</v>
      </c>
      <c r="I205" s="42"/>
      <c r="J205" s="42"/>
      <c r="K205" s="43"/>
      <c r="L205" s="44">
        <v>0</v>
      </c>
      <c r="M205" s="43"/>
      <c r="N205" s="44">
        <v>0</v>
      </c>
      <c r="O205" s="136"/>
      <c r="P205" s="412"/>
    </row>
    <row r="206" spans="1:16" ht="20.25">
      <c r="A206" s="427"/>
      <c r="B206" s="200"/>
      <c r="C206" s="38"/>
      <c r="D206" s="215" t="s">
        <v>78</v>
      </c>
      <c r="E206" s="38"/>
      <c r="F206" s="38"/>
      <c r="G206" s="40"/>
      <c r="H206" s="41" t="s">
        <v>12</v>
      </c>
      <c r="I206" s="42"/>
      <c r="J206" s="42"/>
      <c r="K206" s="43"/>
      <c r="L206" s="44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+IMPORTRANGE(""https://docs.google.com/spreadsheets/d/1uenpWDAH2bchvfvsSIjpd4bRU5D1faxJOaE"&amp;"34GQM5-c/edit?usp=sharing"",""รวมใต้!L206"")"),1104000)</f>
        <v>1104000</v>
      </c>
      <c r="M206" s="43"/>
      <c r="N206" s="44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+IMPORTRANGE(""https://docs.google.com/spreadsheets/d/1uenpWDAH2bchvfvsSIjpd4bRU5D1faxJOaE"&amp;"34GQM5-c/edit?usp=sharing"",""รวมใต้!N206"")"),75007)</f>
        <v>75007</v>
      </c>
      <c r="O206" s="136"/>
      <c r="P206" s="412"/>
    </row>
    <row r="207" spans="1:16" ht="20.25">
      <c r="A207" s="427"/>
      <c r="B207" s="200"/>
      <c r="C207" s="38"/>
      <c r="D207" s="215" t="s">
        <v>79</v>
      </c>
      <c r="E207" s="38"/>
      <c r="F207" s="38"/>
      <c r="G207" s="40"/>
      <c r="H207" s="41" t="s">
        <v>12</v>
      </c>
      <c r="I207" s="42"/>
      <c r="J207" s="42"/>
      <c r="K207" s="43"/>
      <c r="L207" s="44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+IMPORTRANGE(""https://docs.google.com/spreadsheets/d/1uenpWDAH2bchvfvsSIjpd4bRU5D1faxJOaE"&amp;"34GQM5-c/edit?usp=sharing"",""รวมใต้!L207"")"),652000)</f>
        <v>652000</v>
      </c>
      <c r="M207" s="43"/>
      <c r="N207" s="44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+IMPORTRANGE(""https://docs.google.com/spreadsheets/d/1uenpWDAH2bchvfvsSIjpd4bRU5D1faxJOaE"&amp;"34GQM5-c/edit?usp=sharing"",""รวมใต้!N207"")"),0)</f>
        <v>0</v>
      </c>
      <c r="O207" s="136"/>
      <c r="P207" s="412"/>
    </row>
    <row r="208" spans="1:16" ht="20.25">
      <c r="A208" s="404"/>
      <c r="B208" s="124"/>
      <c r="C208" s="480" t="s">
        <v>14</v>
      </c>
      <c r="D208" s="125" t="s">
        <v>34</v>
      </c>
      <c r="E208" s="126"/>
      <c r="F208" s="126"/>
      <c r="G208" s="127"/>
      <c r="H208" s="128"/>
      <c r="I208" s="121"/>
      <c r="J208" s="121"/>
      <c r="K208" s="122"/>
      <c r="L208" s="122"/>
      <c r="M208" s="122"/>
      <c r="N208" s="122"/>
      <c r="O208" s="122"/>
      <c r="P208" s="405"/>
    </row>
    <row r="209" spans="1:16" ht="20.25">
      <c r="A209" s="404"/>
      <c r="B209" s="124"/>
      <c r="C209" s="124"/>
      <c r="D209" s="129" t="s">
        <v>80</v>
      </c>
      <c r="E209" s="130"/>
      <c r="F209" s="130"/>
      <c r="G209" s="128"/>
      <c r="H209" s="128" t="s">
        <v>75</v>
      </c>
      <c r="I209" s="145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+IMPORTRANGE(""https://docs.google.com/spreadsheets/d/1uenpWDAH2bchvfvsSIjpd4bRU5D1faxJOaE"&amp;"34GQM5-c/edit?usp=sharing"",""รวมใต้!I209"")"),138)</f>
        <v>138</v>
      </c>
      <c r="J209" s="145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+IMPORTRANGE(""https://docs.google.com/spreadsheets/d/1uenpWDAH2bchvfvsSIjpd4bRU5D1faxJOaE"&amp;"34GQM5-c/edit?usp=sharing"",""รวมใต้!J209"")"),8)</f>
        <v>8</v>
      </c>
      <c r="K209" s="136">
        <f ca="1">IF(I209&gt;0,J209*100/I209,0)</f>
        <v>5.7971014492753623</v>
      </c>
      <c r="L209" s="43"/>
      <c r="M209" s="43"/>
      <c r="N209" s="43"/>
      <c r="O209" s="43"/>
      <c r="P209" s="412"/>
    </row>
    <row r="210" spans="1:16" ht="20.25">
      <c r="A210" s="404"/>
      <c r="B210" s="124"/>
      <c r="C210" s="124"/>
      <c r="D210" s="130" t="s">
        <v>46</v>
      </c>
      <c r="E210" s="130"/>
      <c r="F210" s="130"/>
      <c r="G210" s="128"/>
      <c r="H210" s="128"/>
      <c r="I210" s="42"/>
      <c r="J210" s="42"/>
      <c r="K210" s="122"/>
      <c r="L210" s="43"/>
      <c r="M210" s="43"/>
      <c r="N210" s="43"/>
      <c r="O210" s="43"/>
      <c r="P210" s="412"/>
    </row>
    <row r="211" spans="1:16" ht="20.25">
      <c r="A211" s="404"/>
      <c r="B211" s="124"/>
      <c r="C211" s="124"/>
      <c r="D211" s="130"/>
      <c r="E211" s="130" t="s">
        <v>81</v>
      </c>
      <c r="F211" s="130"/>
      <c r="G211" s="128"/>
      <c r="H211" s="128" t="s">
        <v>75</v>
      </c>
      <c r="I211" s="145">
        <v>0</v>
      </c>
      <c r="J211" s="145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+IMPORTRANGE(""https://docs.google.com/spreadsheets/d/1uenpWDAH2bchvfvsSIjpd4bRU5D1faxJOaE"&amp;"34GQM5-c/edit?usp=sharing"",""รวมใต้!J211"")"),0)</f>
        <v>0</v>
      </c>
      <c r="K211" s="136">
        <f t="shared" ref="K211:K213" si="101">IF(I211&gt;0,J211*100/I211,0)</f>
        <v>0</v>
      </c>
      <c r="L211" s="43"/>
      <c r="M211" s="43"/>
      <c r="N211" s="43"/>
      <c r="O211" s="43"/>
      <c r="P211" s="412"/>
    </row>
    <row r="212" spans="1:16" ht="20.25">
      <c r="A212" s="404"/>
      <c r="B212" s="124"/>
      <c r="C212" s="124"/>
      <c r="D212" s="130"/>
      <c r="E212" s="130" t="s">
        <v>82</v>
      </c>
      <c r="F212" s="130"/>
      <c r="G212" s="130"/>
      <c r="H212" s="134" t="s">
        <v>83</v>
      </c>
      <c r="I212" s="145">
        <v>0</v>
      </c>
      <c r="J212" s="145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+IMPORTRANGE(""https://docs.google.com/spreadsheets/d/1uenpWDAH2bchvfvsSIjpd4bRU5D1faxJOaE"&amp;"34GQM5-c/edit?usp=sharing"",""รวมใต้!J212"")"),0)</f>
        <v>0</v>
      </c>
      <c r="K212" s="136">
        <f t="shared" si="101"/>
        <v>0</v>
      </c>
      <c r="L212" s="43"/>
      <c r="M212" s="43"/>
      <c r="N212" s="43"/>
      <c r="O212" s="43"/>
      <c r="P212" s="412"/>
    </row>
    <row r="213" spans="1:16" ht="20.25">
      <c r="A213" s="428"/>
      <c r="B213" s="202"/>
      <c r="C213" s="203" t="s">
        <v>84</v>
      </c>
      <c r="D213" s="204"/>
      <c r="E213" s="204"/>
      <c r="F213" s="204"/>
      <c r="G213" s="205"/>
      <c r="H213" s="213" t="s">
        <v>75</v>
      </c>
      <c r="I213" s="207">
        <f t="shared" ref="I213:J213" ca="1" si="102">I220</f>
        <v>45</v>
      </c>
      <c r="J213" s="207">
        <f t="shared" ca="1" si="102"/>
        <v>1</v>
      </c>
      <c r="K213" s="208">
        <f t="shared" ca="1" si="101"/>
        <v>2.2222222222222223</v>
      </c>
      <c r="L213" s="209"/>
      <c r="M213" s="209"/>
      <c r="N213" s="209"/>
      <c r="O213" s="209"/>
      <c r="P213" s="429"/>
    </row>
    <row r="214" spans="1:16" ht="20.25">
      <c r="A214" s="402"/>
      <c r="B214" s="38"/>
      <c r="C214" s="480" t="s">
        <v>14</v>
      </c>
      <c r="D214" s="210" t="s">
        <v>15</v>
      </c>
      <c r="E214" s="38"/>
      <c r="F214" s="38"/>
      <c r="G214" s="40"/>
      <c r="H214" s="211" t="s">
        <v>12</v>
      </c>
      <c r="I214" s="121"/>
      <c r="J214" s="121"/>
      <c r="K214" s="122"/>
      <c r="L214" s="118">
        <f ca="1">L215+L216+L217</f>
        <v>630000</v>
      </c>
      <c r="M214" s="43"/>
      <c r="N214" s="118">
        <f ca="1">N215+N216+N217</f>
        <v>8240</v>
      </c>
      <c r="O214" s="118">
        <f ca="1">IF(L214&gt;0,N214*100/L214,0)</f>
        <v>1.307936507936508</v>
      </c>
      <c r="P214" s="403"/>
    </row>
    <row r="215" spans="1:16" ht="20.25">
      <c r="A215" s="402"/>
      <c r="B215" s="200"/>
      <c r="C215" s="38"/>
      <c r="D215" s="38" t="s">
        <v>76</v>
      </c>
      <c r="E215" s="38"/>
      <c r="F215" s="38"/>
      <c r="G215" s="40"/>
      <c r="H215" s="120" t="s">
        <v>12</v>
      </c>
      <c r="I215" s="121"/>
      <c r="J215" s="121"/>
      <c r="K215" s="122"/>
      <c r="L215" s="44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+IMPORTRANGE(""https://docs.google.com/spreadsheets/d/1uenpWDAH2bchvfvsSIjpd4bRU5D1faxJOaE"&amp;"34GQM5-c/edit?usp=sharing"",""รวมใต้!L215"")"),45000)</f>
        <v>45000</v>
      </c>
      <c r="M215" s="43"/>
      <c r="N215" s="44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+IMPORTRANGE(""https://docs.google.com/spreadsheets/d/1uenpWDAH2bchvfvsSIjpd4bRU5D1faxJOaE"&amp;"34GQM5-c/edit?usp=sharing"",""รวมใต้!N215"")"),240)</f>
        <v>240</v>
      </c>
      <c r="O215" s="136"/>
      <c r="P215" s="412"/>
    </row>
    <row r="216" spans="1:16" ht="20.25">
      <c r="A216" s="427"/>
      <c r="B216" s="200"/>
      <c r="C216" s="200"/>
      <c r="D216" s="38" t="s">
        <v>85</v>
      </c>
      <c r="E216" s="38"/>
      <c r="F216" s="38"/>
      <c r="G216" s="40"/>
      <c r="H216" s="120" t="s">
        <v>12</v>
      </c>
      <c r="I216" s="42"/>
      <c r="J216" s="42"/>
      <c r="K216" s="43"/>
      <c r="L216" s="44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+IMPORTRANGE(""https://docs.google.com/spreadsheets/d/1uenpWDAH2bchvfvsSIjpd4bRU5D1faxJOaE"&amp;"34GQM5-c/edit?usp=sharing"",""รวมใต้!L216"")"),225000)</f>
        <v>225000</v>
      </c>
      <c r="M216" s="43"/>
      <c r="N216" s="44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+IMPORTRANGE(""https://docs.google.com/spreadsheets/d/1uenpWDAH2bchvfvsSIjpd4bRU5D1faxJOaE"&amp;"34GQM5-c/edit?usp=sharing"",""รวมใต้!N216"")"),0)</f>
        <v>0</v>
      </c>
      <c r="O216" s="136"/>
      <c r="P216" s="412"/>
    </row>
    <row r="217" spans="1:16" ht="20.25">
      <c r="A217" s="427"/>
      <c r="B217" s="200"/>
      <c r="C217" s="200"/>
      <c r="D217" s="38" t="s">
        <v>78</v>
      </c>
      <c r="E217" s="38"/>
      <c r="F217" s="38"/>
      <c r="G217" s="40"/>
      <c r="H217" s="120" t="s">
        <v>12</v>
      </c>
      <c r="I217" s="42"/>
      <c r="J217" s="42"/>
      <c r="K217" s="43"/>
      <c r="L217" s="44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+IMPORTRANGE(""https://docs.google.com/spreadsheets/d/1uenpWDAH2bchvfvsSIjpd4bRU5D1faxJOaE"&amp;"34GQM5-c/edit?usp=sharing"",""รวมใต้!L217"")"),360000)</f>
        <v>360000</v>
      </c>
      <c r="M217" s="43"/>
      <c r="N217" s="44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+IMPORTRANGE(""https://docs.google.com/spreadsheets/d/1uenpWDAH2bchvfvsSIjpd4bRU5D1faxJOaE"&amp;"34GQM5-c/edit?usp=sharing"",""รวมใต้!N217"")"),8000)</f>
        <v>8000</v>
      </c>
      <c r="O217" s="136"/>
      <c r="P217" s="412"/>
    </row>
    <row r="218" spans="1:16" ht="20.25">
      <c r="A218" s="404"/>
      <c r="B218" s="124"/>
      <c r="C218" s="480" t="s">
        <v>14</v>
      </c>
      <c r="D218" s="125" t="s">
        <v>34</v>
      </c>
      <c r="E218" s="126"/>
      <c r="F218" s="126"/>
      <c r="G218" s="127"/>
      <c r="H218" s="128"/>
      <c r="I218" s="121"/>
      <c r="J218" s="42"/>
      <c r="K218" s="43"/>
      <c r="L218" s="43"/>
      <c r="M218" s="43"/>
      <c r="N218" s="43"/>
      <c r="O218" s="122"/>
      <c r="P218" s="405"/>
    </row>
    <row r="219" spans="1:16" ht="20.25">
      <c r="A219" s="404"/>
      <c r="B219" s="124"/>
      <c r="C219" s="124"/>
      <c r="D219" s="129" t="s">
        <v>86</v>
      </c>
      <c r="E219" s="130"/>
      <c r="F219" s="130"/>
      <c r="G219" s="128"/>
      <c r="H219" s="128" t="s">
        <v>75</v>
      </c>
      <c r="I219" s="145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+IMPORTRANGE(""https://docs.google.com/spreadsheets/d/1uenpWDAH2bchvfvsSIjpd4bRU5D1faxJOaE"&amp;"34GQM5-c/edit?usp=sharing"",""รวมใต้!I219"")"),45)</f>
        <v>45</v>
      </c>
      <c r="J219" s="145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+IMPORTRANGE(""https://docs.google.com/spreadsheets/d/1uenpWDAH2bchvfvsSIjpd4bRU5D1faxJOaE"&amp;"34GQM5-c/edit?usp=sharing"",""รวมใต้!J219"")"),0)</f>
        <v>0</v>
      </c>
      <c r="K219" s="44">
        <f t="shared" ref="K219:K221" ca="1" si="103">IF(I219&gt;0,J219*100/I219,0)</f>
        <v>0</v>
      </c>
      <c r="L219" s="43"/>
      <c r="M219" s="43"/>
      <c r="N219" s="43"/>
      <c r="O219" s="43"/>
      <c r="P219" s="412"/>
    </row>
    <row r="220" spans="1:16" ht="20.25">
      <c r="A220" s="404"/>
      <c r="B220" s="124"/>
      <c r="C220" s="124"/>
      <c r="D220" s="129" t="s">
        <v>87</v>
      </c>
      <c r="E220" s="130"/>
      <c r="F220" s="130"/>
      <c r="G220" s="128"/>
      <c r="H220" s="128" t="s">
        <v>75</v>
      </c>
      <c r="I220" s="145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+IMPORTRANGE(""https://docs.google.com/spreadsheets/d/1uenpWDAH2bchvfvsSIjpd4bRU5D1faxJOaE"&amp;"34GQM5-c/edit?usp=sharing"",""รวมใต้!I220"")"),45)</f>
        <v>45</v>
      </c>
      <c r="J220" s="145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+IMPORTRANGE(""https://docs.google.com/spreadsheets/d/1uenpWDAH2bchvfvsSIjpd4bRU5D1faxJOaE"&amp;"34GQM5-c/edit?usp=sharing"",""รวมใต้!J220"")"),1)</f>
        <v>1</v>
      </c>
      <c r="K220" s="44">
        <f t="shared" ca="1" si="103"/>
        <v>2.2222222222222223</v>
      </c>
      <c r="L220" s="43"/>
      <c r="M220" s="43"/>
      <c r="N220" s="43"/>
      <c r="O220" s="43"/>
      <c r="P220" s="412"/>
    </row>
    <row r="221" spans="1:16" ht="20.25">
      <c r="A221" s="428"/>
      <c r="B221" s="202"/>
      <c r="C221" s="203" t="s">
        <v>88</v>
      </c>
      <c r="D221" s="204"/>
      <c r="E221" s="204"/>
      <c r="F221" s="204"/>
      <c r="G221" s="205"/>
      <c r="H221" s="206" t="s">
        <v>89</v>
      </c>
      <c r="I221" s="207">
        <f t="shared" ref="I221:J221" ca="1" si="104">I229</f>
        <v>2633000</v>
      </c>
      <c r="J221" s="207">
        <f t="shared" ca="1" si="104"/>
        <v>0</v>
      </c>
      <c r="K221" s="208">
        <f t="shared" ca="1" si="103"/>
        <v>0</v>
      </c>
      <c r="L221" s="209"/>
      <c r="M221" s="209"/>
      <c r="N221" s="209"/>
      <c r="O221" s="209"/>
      <c r="P221" s="429"/>
    </row>
    <row r="222" spans="1:16" ht="20.25">
      <c r="A222" s="402"/>
      <c r="B222" s="38"/>
      <c r="C222" s="480" t="s">
        <v>14</v>
      </c>
      <c r="D222" s="210" t="s">
        <v>15</v>
      </c>
      <c r="E222" s="38"/>
      <c r="F222" s="38"/>
      <c r="G222" s="40"/>
      <c r="H222" s="211" t="s">
        <v>12</v>
      </c>
      <c r="I222" s="121"/>
      <c r="J222" s="121"/>
      <c r="K222" s="122"/>
      <c r="L222" s="118">
        <f ca="1">L223+L224+L225</f>
        <v>487500</v>
      </c>
      <c r="M222" s="43"/>
      <c r="N222" s="118">
        <f ca="1">N223+N224+N225</f>
        <v>0</v>
      </c>
      <c r="O222" s="118">
        <f ca="1">IF(L222&gt;0,N222*100/L222,0)</f>
        <v>0</v>
      </c>
      <c r="P222" s="403"/>
    </row>
    <row r="223" spans="1:16" ht="20.25">
      <c r="A223" s="402"/>
      <c r="B223" s="200"/>
      <c r="C223" s="38"/>
      <c r="D223" s="38" t="s">
        <v>76</v>
      </c>
      <c r="E223" s="38"/>
      <c r="F223" s="38"/>
      <c r="G223" s="40"/>
      <c r="H223" s="120" t="s">
        <v>12</v>
      </c>
      <c r="I223" s="121"/>
      <c r="J223" s="121"/>
      <c r="K223" s="122"/>
      <c r="L223" s="44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+IMPORTRANGE(""https://docs.google.com/spreadsheets/d/1uenpWDAH2bchvfvsSIjpd4bRU5D1faxJOaE"&amp;"34GQM5-c/edit?usp=sharing"",""รวมใต้!L223"")"),381000)</f>
        <v>381000</v>
      </c>
      <c r="M223" s="43"/>
      <c r="N223" s="44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+IMPORTRANGE(""https://docs.google.com/spreadsheets/d/1uenpWDAH2bchvfvsSIjpd4bRU5D1faxJOaE"&amp;"34GQM5-c/edit?usp=sharing"",""รวมใต้!N223"")"),0)</f>
        <v>0</v>
      </c>
      <c r="O223" s="136"/>
      <c r="P223" s="412"/>
    </row>
    <row r="224" spans="1:16" ht="20.25">
      <c r="A224" s="427"/>
      <c r="B224" s="200"/>
      <c r="C224" s="200"/>
      <c r="D224" s="38" t="s">
        <v>90</v>
      </c>
      <c r="E224" s="38"/>
      <c r="F224" s="38"/>
      <c r="G224" s="40"/>
      <c r="H224" s="120" t="s">
        <v>12</v>
      </c>
      <c r="I224" s="42"/>
      <c r="J224" s="42"/>
      <c r="K224" s="43"/>
      <c r="L224" s="44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+IMPORTRANGE(""https://docs.google.com/spreadsheets/d/1uenpWDAH2bchvfvsSIjpd4bRU5D1faxJOaE"&amp;"34GQM5-c/edit?usp=sharing"",""รวมใต้!L224"")"),106500)</f>
        <v>106500</v>
      </c>
      <c r="M224" s="43"/>
      <c r="N224" s="44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+IMPORTRANGE(""https://docs.google.com/spreadsheets/d/1uenpWDAH2bchvfvsSIjpd4bRU5D1faxJOaE"&amp;"34GQM5-c/edit?usp=sharing"",""รวมใต้!N224"")"),0)</f>
        <v>0</v>
      </c>
      <c r="O224" s="136"/>
      <c r="P224" s="412"/>
    </row>
    <row r="225" spans="1:16" ht="20.25" hidden="1">
      <c r="A225" s="430"/>
      <c r="B225" s="216"/>
      <c r="C225" s="216"/>
      <c r="D225" s="217"/>
      <c r="E225" s="217"/>
      <c r="F225" s="217"/>
      <c r="G225" s="218"/>
      <c r="H225" s="219"/>
      <c r="I225" s="220"/>
      <c r="J225" s="220"/>
      <c r="K225" s="221"/>
      <c r="L225" s="222"/>
      <c r="M225" s="221"/>
      <c r="N225" s="222"/>
      <c r="O225" s="222"/>
      <c r="P225" s="431"/>
    </row>
    <row r="226" spans="1:16" ht="20.25">
      <c r="A226" s="404"/>
      <c r="B226" s="124"/>
      <c r="C226" s="480" t="s">
        <v>14</v>
      </c>
      <c r="D226" s="125" t="s">
        <v>34</v>
      </c>
      <c r="E226" s="126"/>
      <c r="F226" s="126"/>
      <c r="G226" s="127"/>
      <c r="H226" s="128"/>
      <c r="I226" s="121"/>
      <c r="J226" s="121"/>
      <c r="K226" s="122"/>
      <c r="L226" s="122"/>
      <c r="M226" s="122"/>
      <c r="N226" s="122"/>
      <c r="O226" s="122"/>
      <c r="P226" s="405"/>
    </row>
    <row r="227" spans="1:16" ht="20.25">
      <c r="A227" s="404"/>
      <c r="B227" s="124"/>
      <c r="C227" s="124"/>
      <c r="D227" s="38" t="s">
        <v>91</v>
      </c>
      <c r="E227" s="130"/>
      <c r="F227" s="130"/>
      <c r="G227" s="128"/>
      <c r="H227" s="128"/>
      <c r="I227" s="42"/>
      <c r="J227" s="42"/>
      <c r="K227" s="122"/>
      <c r="L227" s="122"/>
      <c r="M227" s="122"/>
      <c r="N227" s="122"/>
      <c r="O227" s="122"/>
      <c r="P227" s="405"/>
    </row>
    <row r="228" spans="1:16" ht="20.25">
      <c r="A228" s="404"/>
      <c r="B228" s="124"/>
      <c r="C228" s="124"/>
      <c r="D228" s="124"/>
      <c r="E228" s="129" t="s">
        <v>92</v>
      </c>
      <c r="F228" s="130"/>
      <c r="G228" s="128"/>
      <c r="H228" s="134" t="s">
        <v>89</v>
      </c>
      <c r="I228" s="145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+IMPORTRANGE(""https://docs.google.com/spreadsheets/d/1uenpWDAH2bchvfvsSIjpd4bRU5D1faxJOaE"&amp;"34GQM5-c/edit?usp=sharing"",""รวมใต้!I228"")"),2633000)</f>
        <v>2633000</v>
      </c>
      <c r="J228" s="145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+IMPORTRANGE(""https://docs.google.com/spreadsheets/d/1uenpWDAH2bchvfvsSIjpd4bRU5D1faxJOaE"&amp;"34GQM5-c/edit?usp=sharing"",""รวมใต้!J228"")"),57800)</f>
        <v>57800</v>
      </c>
      <c r="K228" s="136">
        <f t="shared" ref="K228:K231" ca="1" si="105">IF(I228&gt;0,J228*100/I228,0)</f>
        <v>2.1952145841245727</v>
      </c>
      <c r="L228" s="122"/>
      <c r="M228" s="122"/>
      <c r="N228" s="122"/>
      <c r="O228" s="122"/>
      <c r="P228" s="405"/>
    </row>
    <row r="229" spans="1:16" ht="20.25">
      <c r="A229" s="404"/>
      <c r="B229" s="124"/>
      <c r="C229" s="124"/>
      <c r="D229" s="124"/>
      <c r="E229" s="129" t="s">
        <v>93</v>
      </c>
      <c r="F229" s="130"/>
      <c r="G229" s="128"/>
      <c r="H229" s="134" t="s">
        <v>89</v>
      </c>
      <c r="I229" s="145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+IMPORTRANGE(""https://docs.google.com/spreadsheets/d/1uenpWDAH2bchvfvsSIjpd4bRU5D1faxJOaE"&amp;"34GQM5-c/edit?usp=sharing"",""รวมใต้!I229"")"),2633000)</f>
        <v>2633000</v>
      </c>
      <c r="J229" s="145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+IMPORTRANGE(""https://docs.google.com/spreadsheets/d/1uenpWDAH2bchvfvsSIjpd4bRU5D1faxJOaE"&amp;"34GQM5-c/edit?usp=sharing"",""รวมใต้!J229"")"),0)</f>
        <v>0</v>
      </c>
      <c r="K229" s="136">
        <f t="shared" ca="1" si="105"/>
        <v>0</v>
      </c>
      <c r="L229" s="43"/>
      <c r="M229" s="43"/>
      <c r="N229" s="43"/>
      <c r="O229" s="43"/>
      <c r="P229" s="412"/>
    </row>
    <row r="230" spans="1:16" ht="20.25">
      <c r="A230" s="404"/>
      <c r="B230" s="124"/>
      <c r="C230" s="124"/>
      <c r="D230" s="38" t="s">
        <v>94</v>
      </c>
      <c r="E230" s="130"/>
      <c r="F230" s="130"/>
      <c r="G230" s="128"/>
      <c r="H230" s="134" t="s">
        <v>31</v>
      </c>
      <c r="I230" s="145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+IMPORTRANGE(""https://docs.google.com/spreadsheets/d/1uenpWDAH2bchvfvsSIjpd4bRU5D1faxJOaE"&amp;"34GQM5-c/edit?usp=sharing"",""รวมใต้!I230"")"),0)</f>
        <v>0</v>
      </c>
      <c r="J230" s="145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+IMPORTRANGE(""https://docs.google.com/spreadsheets/d/1uenpWDAH2bchvfvsSIjpd4bRU5D1faxJOaE"&amp;"34GQM5-c/edit?usp=sharing"",""รวมใต้!J230"")"),0)</f>
        <v>0</v>
      </c>
      <c r="K230" s="136">
        <f t="shared" ca="1" si="105"/>
        <v>0</v>
      </c>
      <c r="L230" s="43"/>
      <c r="M230" s="43"/>
      <c r="N230" s="43"/>
      <c r="O230" s="43"/>
      <c r="P230" s="412"/>
    </row>
    <row r="231" spans="1:16" ht="20.25">
      <c r="A231" s="428"/>
      <c r="B231" s="202"/>
      <c r="C231" s="203" t="s">
        <v>95</v>
      </c>
      <c r="D231" s="204"/>
      <c r="E231" s="204"/>
      <c r="F231" s="204"/>
      <c r="G231" s="205"/>
      <c r="H231" s="206" t="s">
        <v>31</v>
      </c>
      <c r="I231" s="207">
        <f t="shared" ref="I231:J231" si="106">I242+I253</f>
        <v>0</v>
      </c>
      <c r="J231" s="207">
        <f t="shared" si="106"/>
        <v>0</v>
      </c>
      <c r="K231" s="208">
        <f t="shared" si="105"/>
        <v>0</v>
      </c>
      <c r="L231" s="209"/>
      <c r="M231" s="209"/>
      <c r="N231" s="209"/>
      <c r="O231" s="209"/>
      <c r="P231" s="429"/>
    </row>
    <row r="232" spans="1:16" ht="20.25">
      <c r="A232" s="402"/>
      <c r="B232" s="38"/>
      <c r="C232" s="480" t="s">
        <v>14</v>
      </c>
      <c r="D232" s="116" t="s">
        <v>15</v>
      </c>
      <c r="E232" s="38"/>
      <c r="F232" s="38"/>
      <c r="G232" s="40"/>
      <c r="H232" s="211" t="s">
        <v>12</v>
      </c>
      <c r="I232" s="121"/>
      <c r="J232" s="121"/>
      <c r="K232" s="122"/>
      <c r="L232" s="118">
        <f ca="1">L233+L234+L235+L236</f>
        <v>2831600</v>
      </c>
      <c r="M232" s="43"/>
      <c r="N232" s="118">
        <f ca="1">N233+N234+N235+N236</f>
        <v>253508</v>
      </c>
      <c r="O232" s="118">
        <f ca="1">IF(L232&gt;0,N232*100/L232,0)</f>
        <v>8.9528181946602636</v>
      </c>
      <c r="P232" s="412"/>
    </row>
    <row r="233" spans="1:16" ht="20.25">
      <c r="A233" s="402"/>
      <c r="B233" s="200"/>
      <c r="C233" s="38"/>
      <c r="D233" s="38" t="s">
        <v>76</v>
      </c>
      <c r="E233" s="38"/>
      <c r="F233" s="38"/>
      <c r="G233" s="40"/>
      <c r="H233" s="120" t="s">
        <v>12</v>
      </c>
      <c r="I233" s="121"/>
      <c r="J233" s="121"/>
      <c r="K233" s="122"/>
      <c r="L233" s="44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+IMPORTRANGE(""https://docs.google.com/spreadsheets/d/1uenpWDAH2bchvfvsSIjpd4bRU5D1faxJOaE"&amp;"34GQM5-c/edit?usp=sharing"",""รวมใต้!L233"")"),1070300)</f>
        <v>1070300</v>
      </c>
      <c r="M233" s="43"/>
      <c r="N233" s="44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+IMPORTRANGE(""https://docs.google.com/spreadsheets/d/1uenpWDAH2bchvfvsSIjpd4bRU5D1faxJOaE"&amp;"34GQM5-c/edit?usp=sharing"",""รวมใต้!N233"")"),95218)</f>
        <v>95218</v>
      </c>
      <c r="O233" s="43"/>
      <c r="P233" s="412"/>
    </row>
    <row r="234" spans="1:16" ht="20.25">
      <c r="A234" s="427"/>
      <c r="B234" s="200"/>
      <c r="C234" s="200"/>
      <c r="D234" s="38" t="s">
        <v>78</v>
      </c>
      <c r="E234" s="38"/>
      <c r="F234" s="38"/>
      <c r="G234" s="40"/>
      <c r="H234" s="120" t="s">
        <v>12</v>
      </c>
      <c r="I234" s="42"/>
      <c r="J234" s="42"/>
      <c r="K234" s="43"/>
      <c r="L234" s="44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+IMPORTRANGE(""https://docs.google.com/spreadsheets/d/1uenpWDAH2bchvfvsSIjpd4bRU5D1faxJOaE"&amp;"34GQM5-c/edit?usp=sharing"",""รวมใต้!L234"")"),59000)</f>
        <v>59000</v>
      </c>
      <c r="M234" s="43"/>
      <c r="N234" s="44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+IMPORTRANGE(""https://docs.google.com/spreadsheets/d/1uenpWDAH2bchvfvsSIjpd4bRU5D1faxJOaE"&amp;"34GQM5-c/edit?usp=sharing"",""รวมใต้!N234"")"),29450)</f>
        <v>29450</v>
      </c>
      <c r="O234" s="43"/>
      <c r="P234" s="412"/>
    </row>
    <row r="235" spans="1:16" ht="20.25">
      <c r="A235" s="427"/>
      <c r="B235" s="200"/>
      <c r="C235" s="200"/>
      <c r="D235" s="38" t="s">
        <v>96</v>
      </c>
      <c r="E235" s="38"/>
      <c r="F235" s="38"/>
      <c r="G235" s="40"/>
      <c r="H235" s="120" t="s">
        <v>12</v>
      </c>
      <c r="I235" s="42"/>
      <c r="J235" s="42"/>
      <c r="K235" s="43"/>
      <c r="L235" s="44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+IMPORTRANGE(""https://docs.google.com/spreadsheets/d/1uenpWDAH2bchvfvsSIjpd4bRU5D1faxJOaE"&amp;"34GQM5-c/edit?usp=sharing"",""รวมใต้!L235"")"),945300)</f>
        <v>945300</v>
      </c>
      <c r="M235" s="43"/>
      <c r="N235" s="44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+IMPORTRANGE(""https://docs.google.com/spreadsheets/d/1uenpWDAH2bchvfvsSIjpd4bRU5D1faxJOaE"&amp;"34GQM5-c/edit?usp=sharing"",""รวมใต้!N235"")"),92840)</f>
        <v>92840</v>
      </c>
      <c r="O235" s="43"/>
      <c r="P235" s="412"/>
    </row>
    <row r="236" spans="1:16" ht="20.25">
      <c r="A236" s="427"/>
      <c r="B236" s="200"/>
      <c r="C236" s="200"/>
      <c r="D236" s="38" t="s">
        <v>97</v>
      </c>
      <c r="E236" s="38"/>
      <c r="F236" s="38"/>
      <c r="G236" s="40"/>
      <c r="H236" s="120" t="s">
        <v>12</v>
      </c>
      <c r="I236" s="42"/>
      <c r="J236" s="42"/>
      <c r="K236" s="43"/>
      <c r="L236" s="44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+IMPORTRANGE(""https://docs.google.com/spreadsheets/d/1uenpWDAH2bchvfvsSIjpd4bRU5D1faxJOaE"&amp;"34GQM5-c/edit?usp=sharing"",""รวมใต้!L236"")"),757000)</f>
        <v>757000</v>
      </c>
      <c r="M236" s="43"/>
      <c r="N236" s="44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+IMPORTRANGE(""https://docs.google.com/spreadsheets/d/1uenpWDAH2bchvfvsSIjpd4bRU5D1faxJOaE"&amp;"34GQM5-c/edit?usp=sharing"",""รวมใต้!N236"")"),36000)</f>
        <v>36000</v>
      </c>
      <c r="O236" s="43"/>
      <c r="P236" s="412"/>
    </row>
    <row r="237" spans="1:16" ht="20.25">
      <c r="A237" s="404"/>
      <c r="B237" s="124"/>
      <c r="C237" s="480" t="s">
        <v>14</v>
      </c>
      <c r="D237" s="125" t="s">
        <v>34</v>
      </c>
      <c r="E237" s="126"/>
      <c r="F237" s="126"/>
      <c r="G237" s="127"/>
      <c r="H237" s="128"/>
      <c r="I237" s="121"/>
      <c r="J237" s="42"/>
      <c r="K237" s="43"/>
      <c r="L237" s="43"/>
      <c r="M237" s="43"/>
      <c r="N237" s="43"/>
      <c r="O237" s="122"/>
      <c r="P237" s="405"/>
    </row>
    <row r="238" spans="1:16" ht="20.25">
      <c r="A238" s="404"/>
      <c r="B238" s="124"/>
      <c r="C238" s="124"/>
      <c r="D238" s="130" t="s">
        <v>98</v>
      </c>
      <c r="E238" s="130"/>
      <c r="F238" s="130"/>
      <c r="G238" s="128"/>
      <c r="H238" s="134" t="s">
        <v>31</v>
      </c>
      <c r="I238" s="145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+IMPORTRANGE(""https://docs.google.com/spreadsheets/d/1uenpWDAH2bchvfvsSIjpd4bRU5D1faxJOaE"&amp;"34GQM5-c/edit?usp=sharing"",""รวมใต้!I238"")"),660)</f>
        <v>660</v>
      </c>
      <c r="J238" s="145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+IMPORTRANGE(""https://docs.google.com/spreadsheets/d/1uenpWDAH2bchvfvsSIjpd4bRU5D1faxJOaE"&amp;"34GQM5-c/edit?usp=sharing"",""รวมใต้!J238"")"),70)</f>
        <v>70</v>
      </c>
      <c r="K238" s="44">
        <f ca="1">IF(I238&gt;0,J238*100/I238,0)</f>
        <v>10.606060606060606</v>
      </c>
      <c r="L238" s="43"/>
      <c r="M238" s="43"/>
      <c r="N238" s="43"/>
      <c r="O238" s="43"/>
      <c r="P238" s="412"/>
    </row>
    <row r="239" spans="1:16" ht="20.25">
      <c r="A239" s="404"/>
      <c r="B239" s="124"/>
      <c r="C239" s="124"/>
      <c r="D239" s="223" t="s">
        <v>39</v>
      </c>
      <c r="E239" s="130"/>
      <c r="F239" s="130"/>
      <c r="G239" s="128"/>
      <c r="H239" s="128"/>
      <c r="I239" s="42"/>
      <c r="J239" s="42"/>
      <c r="K239" s="43"/>
      <c r="L239" s="43"/>
      <c r="M239" s="43"/>
      <c r="N239" s="43"/>
      <c r="O239" s="122"/>
      <c r="P239" s="405"/>
    </row>
    <row r="240" spans="1:16" ht="20.25">
      <c r="A240" s="404"/>
      <c r="B240" s="124"/>
      <c r="C240" s="124"/>
      <c r="D240" s="124"/>
      <c r="E240" s="129" t="s">
        <v>99</v>
      </c>
      <c r="F240" s="130"/>
      <c r="G240" s="128"/>
      <c r="H240" s="134" t="s">
        <v>31</v>
      </c>
      <c r="I240" s="145">
        <v>0</v>
      </c>
      <c r="J240" s="145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+IMPORTRANGE(""https://docs.google.com/spreadsheets/d/1uenpWDAH2bchvfvsSIjpd4bRU5D1faxJOaE"&amp;"34GQM5-c/edit?usp=sharing"",""รวมใต้!J240"")"),30)</f>
        <v>30</v>
      </c>
      <c r="K240" s="44">
        <f t="shared" ref="K240:K241" si="107">IF(I240&gt;0,J240*100/I240,0)</f>
        <v>0</v>
      </c>
      <c r="L240" s="43"/>
      <c r="M240" s="43"/>
      <c r="N240" s="43"/>
      <c r="O240" s="43"/>
      <c r="P240" s="412"/>
    </row>
    <row r="241" spans="1:16" ht="20.25">
      <c r="A241" s="404"/>
      <c r="B241" s="124"/>
      <c r="C241" s="124"/>
      <c r="D241" s="124"/>
      <c r="E241" s="129" t="s">
        <v>100</v>
      </c>
      <c r="F241" s="130"/>
      <c r="G241" s="128"/>
      <c r="H241" s="134" t="s">
        <v>52</v>
      </c>
      <c r="I241" s="145">
        <v>0</v>
      </c>
      <c r="J241" s="145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+IMPORTRANGE(""https://docs.google.com/spreadsheets/d/1uenpWDAH2bchvfvsSIjpd4bRU5D1faxJOaE"&amp;"34GQM5-c/edit?usp=sharing"",""รวมใต้!J241"")"),0)</f>
        <v>0</v>
      </c>
      <c r="K241" s="44">
        <f t="shared" si="107"/>
        <v>0</v>
      </c>
      <c r="L241" s="43"/>
      <c r="M241" s="43"/>
      <c r="N241" s="43"/>
      <c r="O241" s="43"/>
      <c r="P241" s="412"/>
    </row>
    <row r="242" spans="1:16" ht="20.25" hidden="1">
      <c r="A242" s="432"/>
      <c r="B242" s="224"/>
      <c r="C242" s="225" t="s">
        <v>101</v>
      </c>
      <c r="D242" s="226"/>
      <c r="E242" s="226"/>
      <c r="F242" s="226"/>
      <c r="G242" s="227"/>
      <c r="H242" s="228" t="s">
        <v>31</v>
      </c>
      <c r="I242" s="229"/>
      <c r="J242" s="229"/>
      <c r="K242" s="230"/>
      <c r="L242" s="221"/>
      <c r="M242" s="221"/>
      <c r="N242" s="221"/>
      <c r="O242" s="221"/>
      <c r="P242" s="431"/>
    </row>
    <row r="243" spans="1:16" ht="20.25" hidden="1">
      <c r="A243" s="433"/>
      <c r="B243" s="226"/>
      <c r="C243" s="225" t="s">
        <v>14</v>
      </c>
      <c r="D243" s="231" t="s">
        <v>15</v>
      </c>
      <c r="E243" s="226"/>
      <c r="F243" s="226"/>
      <c r="G243" s="227"/>
      <c r="H243" s="232" t="s">
        <v>12</v>
      </c>
      <c r="I243" s="233"/>
      <c r="J243" s="233"/>
      <c r="K243" s="234"/>
      <c r="L243" s="235"/>
      <c r="M243" s="221"/>
      <c r="N243" s="235"/>
      <c r="O243" s="235"/>
      <c r="P243" s="434"/>
    </row>
    <row r="244" spans="1:16" ht="20.25" hidden="1">
      <c r="A244" s="433"/>
      <c r="B244" s="224"/>
      <c r="C244" s="226"/>
      <c r="D244" s="226" t="s">
        <v>76</v>
      </c>
      <c r="E244" s="226"/>
      <c r="F244" s="226"/>
      <c r="G244" s="227"/>
      <c r="H244" s="236" t="s">
        <v>12</v>
      </c>
      <c r="I244" s="233"/>
      <c r="J244" s="233"/>
      <c r="K244" s="234"/>
      <c r="L244" s="222"/>
      <c r="M244" s="221"/>
      <c r="N244" s="222"/>
      <c r="O244" s="221"/>
      <c r="P244" s="431"/>
    </row>
    <row r="245" spans="1:16" ht="20.25" hidden="1">
      <c r="A245" s="432"/>
      <c r="B245" s="224"/>
      <c r="C245" s="224"/>
      <c r="D245" s="226" t="s">
        <v>78</v>
      </c>
      <c r="E245" s="226"/>
      <c r="F245" s="226"/>
      <c r="G245" s="227"/>
      <c r="H245" s="236" t="s">
        <v>12</v>
      </c>
      <c r="I245" s="233"/>
      <c r="J245" s="233"/>
      <c r="K245" s="234"/>
      <c r="L245" s="222"/>
      <c r="M245" s="221"/>
      <c r="N245" s="222"/>
      <c r="O245" s="221"/>
      <c r="P245" s="431"/>
    </row>
    <row r="246" spans="1:16" ht="20.25" hidden="1">
      <c r="A246" s="432"/>
      <c r="B246" s="224"/>
      <c r="C246" s="224"/>
      <c r="D246" s="226" t="s">
        <v>96</v>
      </c>
      <c r="E246" s="226"/>
      <c r="F246" s="226"/>
      <c r="G246" s="227"/>
      <c r="H246" s="236" t="s">
        <v>12</v>
      </c>
      <c r="I246" s="233"/>
      <c r="J246" s="233"/>
      <c r="K246" s="234"/>
      <c r="L246" s="222"/>
      <c r="M246" s="221"/>
      <c r="N246" s="222"/>
      <c r="O246" s="221"/>
      <c r="P246" s="431"/>
    </row>
    <row r="247" spans="1:16" ht="20.25" hidden="1">
      <c r="A247" s="432"/>
      <c r="B247" s="224"/>
      <c r="C247" s="224"/>
      <c r="D247" s="226" t="s">
        <v>97</v>
      </c>
      <c r="E247" s="226"/>
      <c r="F247" s="226"/>
      <c r="G247" s="227"/>
      <c r="H247" s="236" t="s">
        <v>12</v>
      </c>
      <c r="I247" s="233"/>
      <c r="J247" s="233"/>
      <c r="K247" s="234"/>
      <c r="L247" s="222"/>
      <c r="M247" s="221"/>
      <c r="N247" s="222"/>
      <c r="O247" s="221"/>
      <c r="P247" s="431"/>
    </row>
    <row r="248" spans="1:16" ht="20.25" hidden="1">
      <c r="A248" s="432"/>
      <c r="B248" s="224"/>
      <c r="C248" s="237" t="s">
        <v>14</v>
      </c>
      <c r="D248" s="238" t="s">
        <v>34</v>
      </c>
      <c r="E248" s="226"/>
      <c r="F248" s="226"/>
      <c r="G248" s="227"/>
      <c r="H248" s="227"/>
      <c r="I248" s="233"/>
      <c r="J248" s="233"/>
      <c r="K248" s="234"/>
      <c r="L248" s="221"/>
      <c r="M248" s="221"/>
      <c r="N248" s="221"/>
      <c r="O248" s="221"/>
      <c r="P248" s="431"/>
    </row>
    <row r="249" spans="1:16" ht="20.25" hidden="1">
      <c r="A249" s="432"/>
      <c r="B249" s="224"/>
      <c r="C249" s="224"/>
      <c r="D249" s="226" t="s">
        <v>98</v>
      </c>
      <c r="E249" s="226"/>
      <c r="F249" s="226"/>
      <c r="G249" s="227"/>
      <c r="H249" s="239" t="s">
        <v>31</v>
      </c>
      <c r="I249" s="240"/>
      <c r="J249" s="240"/>
      <c r="K249" s="241"/>
      <c r="L249" s="221"/>
      <c r="M249" s="221"/>
      <c r="N249" s="221"/>
      <c r="O249" s="221"/>
      <c r="P249" s="431"/>
    </row>
    <row r="250" spans="1:16" ht="20.25" hidden="1">
      <c r="A250" s="432"/>
      <c r="B250" s="224"/>
      <c r="C250" s="224"/>
      <c r="D250" s="242" t="s">
        <v>39</v>
      </c>
      <c r="E250" s="226"/>
      <c r="F250" s="226"/>
      <c r="G250" s="227"/>
      <c r="H250" s="227"/>
      <c r="I250" s="233"/>
      <c r="J250" s="233"/>
      <c r="K250" s="234"/>
      <c r="L250" s="221"/>
      <c r="M250" s="221"/>
      <c r="N250" s="221"/>
      <c r="O250" s="221"/>
      <c r="P250" s="431"/>
    </row>
    <row r="251" spans="1:16" ht="20.25" hidden="1">
      <c r="A251" s="432"/>
      <c r="B251" s="224"/>
      <c r="C251" s="224"/>
      <c r="D251" s="224"/>
      <c r="E251" s="243" t="s">
        <v>99</v>
      </c>
      <c r="F251" s="226"/>
      <c r="G251" s="227"/>
      <c r="H251" s="239" t="s">
        <v>31</v>
      </c>
      <c r="I251" s="240"/>
      <c r="J251" s="240"/>
      <c r="K251" s="241"/>
      <c r="L251" s="221"/>
      <c r="M251" s="221"/>
      <c r="N251" s="221"/>
      <c r="O251" s="221"/>
      <c r="P251" s="431"/>
    </row>
    <row r="252" spans="1:16" ht="20.25" hidden="1">
      <c r="A252" s="432"/>
      <c r="B252" s="224"/>
      <c r="C252" s="224"/>
      <c r="D252" s="224"/>
      <c r="E252" s="243" t="s">
        <v>100</v>
      </c>
      <c r="F252" s="226"/>
      <c r="G252" s="227"/>
      <c r="H252" s="239" t="s">
        <v>52</v>
      </c>
      <c r="I252" s="240"/>
      <c r="J252" s="240"/>
      <c r="K252" s="241"/>
      <c r="L252" s="221"/>
      <c r="M252" s="221"/>
      <c r="N252" s="221"/>
      <c r="O252" s="221"/>
      <c r="P252" s="431"/>
    </row>
    <row r="253" spans="1:16" ht="20.25" hidden="1">
      <c r="A253" s="432"/>
      <c r="B253" s="224"/>
      <c r="C253" s="225" t="s">
        <v>102</v>
      </c>
      <c r="D253" s="226"/>
      <c r="E253" s="226"/>
      <c r="F253" s="226"/>
      <c r="G253" s="227"/>
      <c r="H253" s="228" t="s">
        <v>31</v>
      </c>
      <c r="I253" s="229"/>
      <c r="J253" s="229"/>
      <c r="K253" s="230"/>
      <c r="L253" s="221"/>
      <c r="M253" s="221"/>
      <c r="N253" s="221"/>
      <c r="O253" s="221"/>
      <c r="P253" s="431"/>
    </row>
    <row r="254" spans="1:16" ht="20.25" hidden="1">
      <c r="A254" s="433"/>
      <c r="B254" s="226"/>
      <c r="C254" s="225" t="s">
        <v>14</v>
      </c>
      <c r="D254" s="238" t="s">
        <v>15</v>
      </c>
      <c r="E254" s="226"/>
      <c r="F254" s="226"/>
      <c r="G254" s="227"/>
      <c r="H254" s="232" t="s">
        <v>12</v>
      </c>
      <c r="I254" s="233"/>
      <c r="J254" s="233"/>
      <c r="K254" s="234"/>
      <c r="L254" s="235"/>
      <c r="M254" s="221"/>
      <c r="N254" s="235"/>
      <c r="O254" s="235"/>
      <c r="P254" s="434"/>
    </row>
    <row r="255" spans="1:16" ht="20.25" hidden="1">
      <c r="A255" s="433"/>
      <c r="B255" s="224"/>
      <c r="C255" s="226"/>
      <c r="D255" s="226" t="s">
        <v>76</v>
      </c>
      <c r="E255" s="226"/>
      <c r="F255" s="226"/>
      <c r="G255" s="227"/>
      <c r="H255" s="236" t="s">
        <v>12</v>
      </c>
      <c r="I255" s="233"/>
      <c r="J255" s="233"/>
      <c r="K255" s="234"/>
      <c r="L255" s="222"/>
      <c r="M255" s="221"/>
      <c r="N255" s="222"/>
      <c r="O255" s="221"/>
      <c r="P255" s="431"/>
    </row>
    <row r="256" spans="1:16" ht="20.25" hidden="1">
      <c r="A256" s="432"/>
      <c r="B256" s="224"/>
      <c r="C256" s="224"/>
      <c r="D256" s="226" t="s">
        <v>78</v>
      </c>
      <c r="E256" s="226"/>
      <c r="F256" s="226"/>
      <c r="G256" s="227"/>
      <c r="H256" s="236" t="s">
        <v>12</v>
      </c>
      <c r="I256" s="233"/>
      <c r="J256" s="233"/>
      <c r="K256" s="234"/>
      <c r="L256" s="222"/>
      <c r="M256" s="221"/>
      <c r="N256" s="222"/>
      <c r="O256" s="221"/>
      <c r="P256" s="431"/>
    </row>
    <row r="257" spans="1:16" ht="20.25" hidden="1">
      <c r="A257" s="432"/>
      <c r="B257" s="224"/>
      <c r="C257" s="224"/>
      <c r="D257" s="226" t="s">
        <v>96</v>
      </c>
      <c r="E257" s="226"/>
      <c r="F257" s="226"/>
      <c r="G257" s="227"/>
      <c r="H257" s="236" t="s">
        <v>12</v>
      </c>
      <c r="I257" s="233"/>
      <c r="J257" s="233"/>
      <c r="K257" s="234"/>
      <c r="L257" s="222"/>
      <c r="M257" s="221"/>
      <c r="N257" s="222"/>
      <c r="O257" s="221"/>
      <c r="P257" s="431"/>
    </row>
    <row r="258" spans="1:16" ht="20.25" hidden="1">
      <c r="A258" s="432"/>
      <c r="B258" s="224"/>
      <c r="C258" s="224"/>
      <c r="D258" s="226" t="s">
        <v>97</v>
      </c>
      <c r="E258" s="226"/>
      <c r="F258" s="226"/>
      <c r="G258" s="227"/>
      <c r="H258" s="236" t="s">
        <v>12</v>
      </c>
      <c r="I258" s="233"/>
      <c r="J258" s="233"/>
      <c r="K258" s="234"/>
      <c r="L258" s="222"/>
      <c r="M258" s="221"/>
      <c r="N258" s="222"/>
      <c r="O258" s="221"/>
      <c r="P258" s="431"/>
    </row>
    <row r="259" spans="1:16" ht="20.25" hidden="1">
      <c r="A259" s="432"/>
      <c r="B259" s="224"/>
      <c r="C259" s="237" t="s">
        <v>14</v>
      </c>
      <c r="D259" s="238" t="s">
        <v>34</v>
      </c>
      <c r="E259" s="226"/>
      <c r="F259" s="226"/>
      <c r="G259" s="227"/>
      <c r="H259" s="227"/>
      <c r="I259" s="233"/>
      <c r="J259" s="233"/>
      <c r="K259" s="234"/>
      <c r="L259" s="221"/>
      <c r="M259" s="221"/>
      <c r="N259" s="221"/>
      <c r="O259" s="221"/>
      <c r="P259" s="431"/>
    </row>
    <row r="260" spans="1:16" ht="20.25" hidden="1">
      <c r="A260" s="432"/>
      <c r="B260" s="224"/>
      <c r="C260" s="224"/>
      <c r="D260" s="226" t="s">
        <v>98</v>
      </c>
      <c r="E260" s="226"/>
      <c r="F260" s="226"/>
      <c r="G260" s="227"/>
      <c r="H260" s="239" t="s">
        <v>31</v>
      </c>
      <c r="I260" s="240"/>
      <c r="J260" s="240"/>
      <c r="K260" s="241"/>
      <c r="L260" s="221"/>
      <c r="M260" s="221"/>
      <c r="N260" s="221"/>
      <c r="O260" s="221"/>
      <c r="P260" s="431"/>
    </row>
    <row r="261" spans="1:16" ht="20.25" hidden="1">
      <c r="A261" s="432"/>
      <c r="B261" s="224"/>
      <c r="C261" s="224"/>
      <c r="D261" s="242" t="s">
        <v>39</v>
      </c>
      <c r="E261" s="226"/>
      <c r="F261" s="226"/>
      <c r="G261" s="227"/>
      <c r="H261" s="227"/>
      <c r="I261" s="233"/>
      <c r="J261" s="233"/>
      <c r="K261" s="234"/>
      <c r="L261" s="221"/>
      <c r="M261" s="221"/>
      <c r="N261" s="221"/>
      <c r="O261" s="221"/>
      <c r="P261" s="431"/>
    </row>
    <row r="262" spans="1:16" ht="20.25" hidden="1">
      <c r="A262" s="432"/>
      <c r="B262" s="224"/>
      <c r="C262" s="224"/>
      <c r="D262" s="224"/>
      <c r="E262" s="243" t="s">
        <v>99</v>
      </c>
      <c r="F262" s="226"/>
      <c r="G262" s="227"/>
      <c r="H262" s="239" t="s">
        <v>31</v>
      </c>
      <c r="I262" s="233"/>
      <c r="J262" s="240"/>
      <c r="K262" s="241"/>
      <c r="L262" s="221"/>
      <c r="M262" s="221"/>
      <c r="N262" s="221"/>
      <c r="O262" s="221"/>
      <c r="P262" s="431"/>
    </row>
    <row r="263" spans="1:16" ht="20.25" hidden="1">
      <c r="A263" s="432"/>
      <c r="B263" s="224"/>
      <c r="C263" s="224"/>
      <c r="D263" s="224"/>
      <c r="E263" s="243" t="s">
        <v>100</v>
      </c>
      <c r="F263" s="226"/>
      <c r="G263" s="227"/>
      <c r="H263" s="239" t="s">
        <v>52</v>
      </c>
      <c r="I263" s="233"/>
      <c r="J263" s="240"/>
      <c r="K263" s="241"/>
      <c r="L263" s="221"/>
      <c r="M263" s="221"/>
      <c r="N263" s="221"/>
      <c r="O263" s="221"/>
      <c r="P263" s="431"/>
    </row>
    <row r="264" spans="1:16" ht="20.25">
      <c r="A264" s="423" t="s">
        <v>103</v>
      </c>
      <c r="B264" s="189"/>
      <c r="C264" s="189"/>
      <c r="D264" s="190"/>
      <c r="E264" s="190"/>
      <c r="F264" s="190"/>
      <c r="G264" s="191"/>
      <c r="H264" s="191"/>
      <c r="I264" s="192"/>
      <c r="J264" s="192"/>
      <c r="K264" s="193"/>
      <c r="L264" s="193"/>
      <c r="M264" s="193"/>
      <c r="N264" s="193"/>
      <c r="O264" s="193"/>
      <c r="P264" s="424"/>
    </row>
    <row r="265" spans="1:16" ht="20.25">
      <c r="A265" s="425"/>
      <c r="B265" s="194" t="s">
        <v>104</v>
      </c>
      <c r="C265" s="195"/>
      <c r="D265" s="126"/>
      <c r="E265" s="126"/>
      <c r="F265" s="126"/>
      <c r="G265" s="127"/>
      <c r="H265" s="196" t="s">
        <v>31</v>
      </c>
      <c r="I265" s="197">
        <v>0</v>
      </c>
      <c r="J265" s="197">
        <v>0</v>
      </c>
      <c r="K265" s="198">
        <f>IF(I265&gt;0,J265*100/I265,0)</f>
        <v>0</v>
      </c>
      <c r="L265" s="199"/>
      <c r="M265" s="199"/>
      <c r="N265" s="199"/>
      <c r="O265" s="199"/>
      <c r="P265" s="426"/>
    </row>
    <row r="266" spans="1:16" ht="20.25">
      <c r="A266" s="402"/>
      <c r="B266" s="38"/>
      <c r="C266" s="480" t="s">
        <v>14</v>
      </c>
      <c r="D266" s="116" t="s">
        <v>15</v>
      </c>
      <c r="E266" s="38"/>
      <c r="F266" s="38"/>
      <c r="G266" s="40"/>
      <c r="H266" s="117" t="s">
        <v>12</v>
      </c>
      <c r="I266" s="42"/>
      <c r="J266" s="42"/>
      <c r="K266" s="43"/>
      <c r="L266" s="118">
        <f t="shared" ref="L266:N266" ca="1" si="108">L267+L268</f>
        <v>2677400</v>
      </c>
      <c r="M266" s="118">
        <f t="shared" ca="1" si="108"/>
        <v>2035200</v>
      </c>
      <c r="N266" s="118">
        <f t="shared" ca="1" si="108"/>
        <v>148709</v>
      </c>
      <c r="O266" s="118">
        <f t="shared" ref="O266:O274" ca="1" si="109">IF(L266&gt;0,N266*100/L266,0)</f>
        <v>5.554231717337716</v>
      </c>
      <c r="P266" s="403">
        <f t="shared" ref="P266:P274" ca="1" si="110">IF(M266&gt;0,N266*100/M266,0)</f>
        <v>7.3068494496855347</v>
      </c>
    </row>
    <row r="267" spans="1:16" ht="20.25">
      <c r="A267" s="402"/>
      <c r="B267" s="38"/>
      <c r="C267" s="38"/>
      <c r="D267" s="38"/>
      <c r="E267" s="38" t="s">
        <v>16</v>
      </c>
      <c r="F267" s="38"/>
      <c r="G267" s="40"/>
      <c r="H267" s="119" t="s">
        <v>12</v>
      </c>
      <c r="I267" s="42"/>
      <c r="J267" s="42"/>
      <c r="K267" s="43"/>
      <c r="L267" s="44">
        <f t="shared" ref="L267:N267" ca="1" si="111">L270+L273</f>
        <v>2677400</v>
      </c>
      <c r="M267" s="44">
        <f t="shared" ca="1" si="111"/>
        <v>2035200</v>
      </c>
      <c r="N267" s="44">
        <f t="shared" ca="1" si="111"/>
        <v>148709</v>
      </c>
      <c r="O267" s="44">
        <f t="shared" ca="1" si="109"/>
        <v>5.554231717337716</v>
      </c>
      <c r="P267" s="369">
        <f t="shared" ca="1" si="110"/>
        <v>7.3068494496855347</v>
      </c>
    </row>
    <row r="268" spans="1:16" ht="20.25">
      <c r="A268" s="402"/>
      <c r="B268" s="38"/>
      <c r="C268" s="38"/>
      <c r="D268" s="38"/>
      <c r="E268" s="38" t="s">
        <v>17</v>
      </c>
      <c r="F268" s="38"/>
      <c r="G268" s="40"/>
      <c r="H268" s="119" t="s">
        <v>12</v>
      </c>
      <c r="I268" s="42"/>
      <c r="J268" s="42"/>
      <c r="K268" s="43"/>
      <c r="L268" s="44">
        <f t="shared" ref="L268:N268" ca="1" si="112">L271+L274</f>
        <v>0</v>
      </c>
      <c r="M268" s="44">
        <f t="shared" ca="1" si="112"/>
        <v>0</v>
      </c>
      <c r="N268" s="44">
        <f t="shared" ca="1" si="112"/>
        <v>0</v>
      </c>
      <c r="O268" s="44">
        <f t="shared" ca="1" si="109"/>
        <v>0</v>
      </c>
      <c r="P268" s="369">
        <f t="shared" ca="1" si="110"/>
        <v>0</v>
      </c>
    </row>
    <row r="269" spans="1:16" ht="20.25">
      <c r="A269" s="402"/>
      <c r="B269" s="38"/>
      <c r="C269" s="38"/>
      <c r="D269" s="39" t="s">
        <v>18</v>
      </c>
      <c r="E269" s="38"/>
      <c r="F269" s="38"/>
      <c r="G269" s="40"/>
      <c r="H269" s="120" t="s">
        <v>12</v>
      </c>
      <c r="I269" s="121"/>
      <c r="J269" s="121"/>
      <c r="K269" s="122"/>
      <c r="L269" s="44">
        <f t="shared" ref="L269:N269" ca="1" si="113">L270+L271</f>
        <v>2677400</v>
      </c>
      <c r="M269" s="44">
        <f t="shared" ca="1" si="113"/>
        <v>2035200</v>
      </c>
      <c r="N269" s="44">
        <f t="shared" ca="1" si="113"/>
        <v>148709</v>
      </c>
      <c r="O269" s="44">
        <f t="shared" ca="1" si="109"/>
        <v>5.554231717337716</v>
      </c>
      <c r="P269" s="369">
        <f t="shared" ca="1" si="110"/>
        <v>7.3068494496855347</v>
      </c>
    </row>
    <row r="270" spans="1:16" ht="20.25">
      <c r="A270" s="402"/>
      <c r="B270" s="38"/>
      <c r="C270" s="38"/>
      <c r="D270" s="38"/>
      <c r="E270" s="38" t="s">
        <v>32</v>
      </c>
      <c r="F270" s="38"/>
      <c r="G270" s="40"/>
      <c r="H270" s="120" t="s">
        <v>12</v>
      </c>
      <c r="I270" s="121"/>
      <c r="J270" s="121"/>
      <c r="K270" s="122"/>
      <c r="L270" s="44">
        <f ca="1">IFERROR(__xludf.DUMMYFUNCTION("IMPORTRANGE(""https://docs.google.com/spreadsheets/d/1-uDff_7J0KD5mKrp0Vvzr7lt3OU09vwQwhkpOPPYv2Y/edit?usp=sharing"",""งบพรบ!DE9"")"),2677400)</f>
        <v>2677400</v>
      </c>
      <c r="M270" s="44">
        <f ca="1">IFERROR(__xludf.DUMMYFUNCTION("IMPORTRANGE(""https://docs.google.com/spreadsheets/d/1-uDff_7J0KD5mKrp0Vvzr7lt3OU09vwQwhkpOPPYv2Y/edit?usp=sharing"",""งบพรบ!DJ9"")"),2035200)</f>
        <v>2035200</v>
      </c>
      <c r="N270" s="44">
        <f ca="1">IFERROR(__xludf.DUMMYFUNCTION("IMPORTRANGE(""https://docs.google.com/spreadsheets/d/1-uDff_7J0KD5mKrp0Vvzr7lt3OU09vwQwhkpOPPYv2Y/edit?usp=sharing"",""งบพรบ!DL9"")"),148709)</f>
        <v>148709</v>
      </c>
      <c r="O270" s="44">
        <f t="shared" ca="1" si="109"/>
        <v>5.554231717337716</v>
      </c>
      <c r="P270" s="369">
        <f t="shared" ca="1" si="110"/>
        <v>7.3068494496855347</v>
      </c>
    </row>
    <row r="271" spans="1:16" ht="20.25">
      <c r="A271" s="402"/>
      <c r="B271" s="38"/>
      <c r="C271" s="38"/>
      <c r="D271" s="38"/>
      <c r="E271" s="38" t="s">
        <v>33</v>
      </c>
      <c r="F271" s="38"/>
      <c r="G271" s="40"/>
      <c r="H271" s="120" t="s">
        <v>12</v>
      </c>
      <c r="I271" s="121"/>
      <c r="J271" s="121"/>
      <c r="K271" s="122"/>
      <c r="L271" s="44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+IMPORTRANGE(""https://docs.google.com/spreadsheets/d/1uenpWDAH2bchvfvsSIjpd4bRU5D1faxJOaE"&amp;"34GQM5-c/edit?usp=sharing"",""รวมใต้!L271"")"),0)</f>
        <v>0</v>
      </c>
      <c r="M271" s="44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+IMPORTRANGE(""https://docs.google.com/spreadsheets/d/1uenpWDAH2bchvfvsSIjpd4bRU5D1faxJOaE"&amp;"34GQM5-c/edit?usp=sharing"",""รวมใต้!M271"")"),0)</f>
        <v>0</v>
      </c>
      <c r="N271" s="44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+IMPORTRANGE(""https://docs.google.com/spreadsheets/d/1uenpWDAH2bchvfvsSIjpd4bRU5D1faxJOaE"&amp;"34GQM5-c/edit?usp=sharing"",""รวมใต้!N271"")"),0)</f>
        <v>0</v>
      </c>
      <c r="O271" s="44">
        <f t="shared" ca="1" si="109"/>
        <v>0</v>
      </c>
      <c r="P271" s="369">
        <f t="shared" ca="1" si="110"/>
        <v>0</v>
      </c>
    </row>
    <row r="272" spans="1:16" ht="20.25">
      <c r="A272" s="402"/>
      <c r="B272" s="38"/>
      <c r="C272" s="38"/>
      <c r="D272" s="39" t="s">
        <v>19</v>
      </c>
      <c r="E272" s="38"/>
      <c r="F272" s="38"/>
      <c r="G272" s="40"/>
      <c r="H272" s="123" t="s">
        <v>12</v>
      </c>
      <c r="I272" s="121"/>
      <c r="J272" s="121"/>
      <c r="K272" s="122"/>
      <c r="L272" s="44">
        <f t="shared" ref="L272:N272" ca="1" si="114">L273+L274</f>
        <v>0</v>
      </c>
      <c r="M272" s="44">
        <f t="shared" ca="1" si="114"/>
        <v>0</v>
      </c>
      <c r="N272" s="44">
        <f t="shared" ca="1" si="114"/>
        <v>0</v>
      </c>
      <c r="O272" s="44">
        <f t="shared" ca="1" si="109"/>
        <v>0</v>
      </c>
      <c r="P272" s="369">
        <f t="shared" ca="1" si="110"/>
        <v>0</v>
      </c>
    </row>
    <row r="273" spans="1:16" ht="20.25">
      <c r="A273" s="402"/>
      <c r="B273" s="38"/>
      <c r="C273" s="38"/>
      <c r="D273" s="38"/>
      <c r="E273" s="38" t="s">
        <v>16</v>
      </c>
      <c r="F273" s="38"/>
      <c r="G273" s="40"/>
      <c r="H273" s="120" t="s">
        <v>12</v>
      </c>
      <c r="I273" s="121"/>
      <c r="J273" s="121"/>
      <c r="K273" s="122"/>
      <c r="L273" s="44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+IMPORTRANGE(""https://docs.google.com/spreadsheets/d/1uenpWDAH2bchvfvsSIjpd4bRU5D1faxJOaE"&amp;"34GQM5-c/edit?usp=sharing"",""รวมใต้!L273"")"),0)</f>
        <v>0</v>
      </c>
      <c r="M273" s="44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+IMPORTRANGE(""https://docs.google.com/spreadsheets/d/1uenpWDAH2bchvfvsSIjpd4bRU5D1faxJOaE"&amp;"34GQM5-c/edit?usp=sharing"",""รวมใต้!M273"")"),0)</f>
        <v>0</v>
      </c>
      <c r="N273" s="44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+IMPORTRANGE(""https://docs.google.com/spreadsheets/d/1uenpWDAH2bchvfvsSIjpd4bRU5D1faxJOaE"&amp;"34GQM5-c/edit?usp=sharing"",""รวมใต้!N273"")"),0)</f>
        <v>0</v>
      </c>
      <c r="O273" s="44">
        <f t="shared" ca="1" si="109"/>
        <v>0</v>
      </c>
      <c r="P273" s="369">
        <f t="shared" ca="1" si="110"/>
        <v>0</v>
      </c>
    </row>
    <row r="274" spans="1:16" ht="20.25">
      <c r="A274" s="402"/>
      <c r="B274" s="38"/>
      <c r="C274" s="38"/>
      <c r="D274" s="38"/>
      <c r="E274" s="38" t="s">
        <v>17</v>
      </c>
      <c r="F274" s="38"/>
      <c r="G274" s="40"/>
      <c r="H274" s="123" t="s">
        <v>12</v>
      </c>
      <c r="I274" s="121"/>
      <c r="J274" s="121"/>
      <c r="K274" s="122"/>
      <c r="L274" s="44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+IMPORTRANGE(""https://docs.google.com/spreadsheets/d/1uenpWDAH2bchvfvsSIjpd4bRU5D1faxJOaE"&amp;"34GQM5-c/edit?usp=sharing"",""รวมใต้!L274"")"),0)</f>
        <v>0</v>
      </c>
      <c r="M274" s="44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+IMPORTRANGE(""https://docs.google.com/spreadsheets/d/1uenpWDAH2bchvfvsSIjpd4bRU5D1faxJOaE"&amp;"34GQM5-c/edit?usp=sharing"",""รวมใต้!M274"")"),0)</f>
        <v>0</v>
      </c>
      <c r="N274" s="44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+IMPORTRANGE(""https://docs.google.com/spreadsheets/d/1uenpWDAH2bchvfvsSIjpd4bRU5D1faxJOaE"&amp;"34GQM5-c/edit?usp=sharing"",""รวมใต้!N274"")"),0)</f>
        <v>0</v>
      </c>
      <c r="O274" s="44">
        <f t="shared" ca="1" si="109"/>
        <v>0</v>
      </c>
      <c r="P274" s="369">
        <f t="shared" ca="1" si="110"/>
        <v>0</v>
      </c>
    </row>
    <row r="275" spans="1:16" ht="20.25">
      <c r="A275" s="404"/>
      <c r="B275" s="124"/>
      <c r="C275" s="480" t="s">
        <v>14</v>
      </c>
      <c r="D275" s="125" t="s">
        <v>34</v>
      </c>
      <c r="E275" s="126"/>
      <c r="F275" s="126"/>
      <c r="G275" s="127"/>
      <c r="H275" s="128"/>
      <c r="I275" s="121"/>
      <c r="J275" s="121"/>
      <c r="K275" s="122"/>
      <c r="L275" s="122"/>
      <c r="M275" s="122"/>
      <c r="N275" s="122"/>
      <c r="O275" s="122"/>
      <c r="P275" s="405"/>
    </row>
    <row r="276" spans="1:16" ht="20.25" hidden="1">
      <c r="A276" s="435"/>
      <c r="B276" s="155"/>
      <c r="C276" s="155"/>
      <c r="D276" s="8"/>
      <c r="E276" s="8"/>
      <c r="F276" s="8"/>
      <c r="G276" s="11"/>
      <c r="H276" s="16"/>
      <c r="I276" s="156"/>
      <c r="J276" s="156"/>
      <c r="K276" s="17"/>
      <c r="L276" s="14"/>
      <c r="M276" s="14"/>
      <c r="N276" s="14"/>
      <c r="O276" s="14"/>
      <c r="P276" s="407"/>
    </row>
    <row r="277" spans="1:16" ht="20.25">
      <c r="A277" s="436"/>
      <c r="B277" s="437"/>
      <c r="C277" s="437"/>
      <c r="D277" s="438" t="s">
        <v>105</v>
      </c>
      <c r="E277" s="408"/>
      <c r="F277" s="408"/>
      <c r="G277" s="244"/>
      <c r="H277" s="100" t="s">
        <v>31</v>
      </c>
      <c r="I277" s="184">
        <v>0</v>
      </c>
      <c r="J277" s="184">
        <v>0</v>
      </c>
      <c r="K277" s="245">
        <v>0</v>
      </c>
      <c r="L277" s="246"/>
      <c r="M277" s="246"/>
      <c r="N277" s="246"/>
      <c r="O277" s="246"/>
      <c r="P277" s="439"/>
    </row>
    <row r="278" spans="1:16" ht="20.25">
      <c r="A278" s="440" t="s">
        <v>106</v>
      </c>
      <c r="B278" s="247"/>
      <c r="C278" s="247"/>
      <c r="D278" s="247"/>
      <c r="E278" s="248"/>
      <c r="F278" s="248"/>
      <c r="G278" s="248"/>
      <c r="H278" s="248"/>
      <c r="I278" s="249"/>
      <c r="J278" s="249"/>
      <c r="K278" s="250"/>
      <c r="L278" s="251"/>
      <c r="M278" s="251"/>
      <c r="N278" s="251"/>
      <c r="O278" s="251"/>
      <c r="P278" s="441"/>
    </row>
    <row r="279" spans="1:16" ht="20.25">
      <c r="A279" s="442" t="s">
        <v>107</v>
      </c>
      <c r="B279" s="252"/>
      <c r="C279" s="253"/>
      <c r="D279" s="252"/>
      <c r="E279" s="252"/>
      <c r="F279" s="252"/>
      <c r="G279" s="252"/>
      <c r="H279" s="252"/>
      <c r="I279" s="254"/>
      <c r="J279" s="255"/>
      <c r="K279" s="256"/>
      <c r="L279" s="256"/>
      <c r="M279" s="256"/>
      <c r="N279" s="256"/>
      <c r="O279" s="256"/>
      <c r="P279" s="443"/>
    </row>
    <row r="280" spans="1:16" ht="20.25">
      <c r="A280" s="444"/>
      <c r="B280" s="257" t="s">
        <v>108</v>
      </c>
      <c r="C280" s="258"/>
      <c r="D280" s="259"/>
      <c r="E280" s="258"/>
      <c r="F280" s="258"/>
      <c r="G280" s="260"/>
      <c r="H280" s="261" t="s">
        <v>31</v>
      </c>
      <c r="I280" s="262">
        <f t="shared" ref="I280:J280" ca="1" si="115">I293</f>
        <v>660</v>
      </c>
      <c r="J280" s="262">
        <f t="shared" ca="1" si="115"/>
        <v>130</v>
      </c>
      <c r="K280" s="263">
        <f t="shared" ref="K280:K281" ca="1" si="116">IF(I280&gt;0,J280*100/I280,0)</f>
        <v>19.696969696969695</v>
      </c>
      <c r="L280" s="264"/>
      <c r="M280" s="264"/>
      <c r="N280" s="264"/>
      <c r="O280" s="264"/>
      <c r="P280" s="445"/>
    </row>
    <row r="281" spans="1:16" ht="20.25">
      <c r="A281" s="444"/>
      <c r="B281" s="258"/>
      <c r="C281" s="258"/>
      <c r="D281" s="259"/>
      <c r="E281" s="258"/>
      <c r="F281" s="258"/>
      <c r="G281" s="260"/>
      <c r="H281" s="261" t="s">
        <v>42</v>
      </c>
      <c r="I281" s="262">
        <f t="shared" ref="I281:J281" ca="1" si="117">I292</f>
        <v>6600</v>
      </c>
      <c r="J281" s="262">
        <f t="shared" ca="1" si="117"/>
        <v>1300</v>
      </c>
      <c r="K281" s="263">
        <f t="shared" ca="1" si="116"/>
        <v>19.696969696969695</v>
      </c>
      <c r="L281" s="264"/>
      <c r="M281" s="264"/>
      <c r="N281" s="264"/>
      <c r="O281" s="264"/>
      <c r="P281" s="445"/>
    </row>
    <row r="282" spans="1:16" ht="20.25">
      <c r="A282" s="402"/>
      <c r="B282" s="38"/>
      <c r="C282" s="480" t="s">
        <v>14</v>
      </c>
      <c r="D282" s="116" t="s">
        <v>15</v>
      </c>
      <c r="E282" s="38"/>
      <c r="F282" s="38"/>
      <c r="G282" s="40"/>
      <c r="H282" s="117" t="s">
        <v>12</v>
      </c>
      <c r="I282" s="42"/>
      <c r="J282" s="42"/>
      <c r="K282" s="43"/>
      <c r="L282" s="118">
        <f t="shared" ref="L282:N282" ca="1" si="118">L283+L284</f>
        <v>4729400</v>
      </c>
      <c r="M282" s="118">
        <f t="shared" ca="1" si="118"/>
        <v>3796600</v>
      </c>
      <c r="N282" s="118">
        <f t="shared" ca="1" si="118"/>
        <v>905065.40999999898</v>
      </c>
      <c r="O282" s="118">
        <f t="shared" ref="O282:O290" ca="1" si="119">IF(L282&gt;0,N282*100/L282,0)</f>
        <v>19.137002791051696</v>
      </c>
      <c r="P282" s="403">
        <f t="shared" ref="P282:P290" ca="1" si="120">IF(M282&gt;0,N282*100/M282,0)</f>
        <v>23.838840278143575</v>
      </c>
    </row>
    <row r="283" spans="1:16" ht="20.25">
      <c r="A283" s="402"/>
      <c r="B283" s="38"/>
      <c r="C283" s="38"/>
      <c r="D283" s="38"/>
      <c r="E283" s="38" t="s">
        <v>16</v>
      </c>
      <c r="F283" s="38"/>
      <c r="G283" s="40"/>
      <c r="H283" s="119" t="s">
        <v>12</v>
      </c>
      <c r="I283" s="42"/>
      <c r="J283" s="42"/>
      <c r="K283" s="43"/>
      <c r="L283" s="44">
        <f t="shared" ref="L283:N283" ca="1" si="121">L286+L289</f>
        <v>1224200</v>
      </c>
      <c r="M283" s="44">
        <f t="shared" ca="1" si="121"/>
        <v>1004100</v>
      </c>
      <c r="N283" s="44">
        <f t="shared" ca="1" si="121"/>
        <v>111918.11</v>
      </c>
      <c r="O283" s="44">
        <f t="shared" ca="1" si="119"/>
        <v>9.1421426237542889</v>
      </c>
      <c r="P283" s="369">
        <f t="shared" ca="1" si="120"/>
        <v>11.146111941041729</v>
      </c>
    </row>
    <row r="284" spans="1:16" ht="20.25">
      <c r="A284" s="402"/>
      <c r="B284" s="38"/>
      <c r="C284" s="38"/>
      <c r="D284" s="38"/>
      <c r="E284" s="38" t="s">
        <v>17</v>
      </c>
      <c r="F284" s="38"/>
      <c r="G284" s="40"/>
      <c r="H284" s="119" t="s">
        <v>12</v>
      </c>
      <c r="I284" s="42"/>
      <c r="J284" s="42"/>
      <c r="K284" s="43"/>
      <c r="L284" s="44">
        <f t="shared" ref="L284:N284" ca="1" si="122">L287+L290</f>
        <v>3505200</v>
      </c>
      <c r="M284" s="44">
        <f t="shared" ca="1" si="122"/>
        <v>2792500</v>
      </c>
      <c r="N284" s="44">
        <f t="shared" ca="1" si="122"/>
        <v>793147.299999999</v>
      </c>
      <c r="O284" s="44">
        <f t="shared" ca="1" si="119"/>
        <v>22.627733082277729</v>
      </c>
      <c r="P284" s="369">
        <f t="shared" ca="1" si="120"/>
        <v>28.402768128916705</v>
      </c>
    </row>
    <row r="285" spans="1:16" ht="20.25">
      <c r="A285" s="402"/>
      <c r="B285" s="38"/>
      <c r="C285" s="38"/>
      <c r="D285" s="39" t="s">
        <v>18</v>
      </c>
      <c r="E285" s="38"/>
      <c r="F285" s="38"/>
      <c r="G285" s="40"/>
      <c r="H285" s="120" t="s">
        <v>12</v>
      </c>
      <c r="I285" s="121"/>
      <c r="J285" s="121"/>
      <c r="K285" s="122"/>
      <c r="L285" s="44">
        <f t="shared" ref="L285:N285" ca="1" si="123">L286+L287</f>
        <v>4729400</v>
      </c>
      <c r="M285" s="44">
        <f t="shared" ca="1" si="123"/>
        <v>3796600</v>
      </c>
      <c r="N285" s="44">
        <f t="shared" ca="1" si="123"/>
        <v>905065.40999999898</v>
      </c>
      <c r="O285" s="44">
        <f t="shared" ca="1" si="119"/>
        <v>19.137002791051696</v>
      </c>
      <c r="P285" s="369">
        <f t="shared" ca="1" si="120"/>
        <v>23.838840278143575</v>
      </c>
    </row>
    <row r="286" spans="1:16" ht="20.25">
      <c r="A286" s="402"/>
      <c r="B286" s="38"/>
      <c r="C286" s="38"/>
      <c r="D286" s="38"/>
      <c r="E286" s="38" t="s">
        <v>32</v>
      </c>
      <c r="F286" s="38"/>
      <c r="G286" s="40"/>
      <c r="H286" s="120" t="s">
        <v>12</v>
      </c>
      <c r="I286" s="121"/>
      <c r="J286" s="121"/>
      <c r="K286" s="122"/>
      <c r="L286" s="44">
        <f ca="1">IFERROR(__xludf.DUMMYFUNCTION("IMPORTRANGE(""https://docs.google.com/spreadsheets/d/1-uDff_7J0KD5mKrp0Vvzr7lt3OU09vwQwhkpOPPYv2Y/edit?usp=sharing"",""งบพรบ!DO9"")"),1224200)</f>
        <v>1224200</v>
      </c>
      <c r="M286" s="44">
        <f ca="1">IFERROR(__xludf.DUMMYFUNCTION("IMPORTRANGE(""https://docs.google.com/spreadsheets/d/1-uDff_7J0KD5mKrp0Vvzr7lt3OU09vwQwhkpOPPYv2Y/edit?usp=sharing"",""งบพรบ!DT9"")"),1004100)</f>
        <v>1004100</v>
      </c>
      <c r="N286" s="44">
        <f ca="1">IFERROR(__xludf.DUMMYFUNCTION("IMPORTRANGE(""https://docs.google.com/spreadsheets/d/1-uDff_7J0KD5mKrp0Vvzr7lt3OU09vwQwhkpOPPYv2Y/edit?usp=sharing"",""งบพรบ!DV9"")"),111918.11)</f>
        <v>111918.11</v>
      </c>
      <c r="O286" s="44">
        <f t="shared" ca="1" si="119"/>
        <v>9.1421426237542889</v>
      </c>
      <c r="P286" s="369">
        <f t="shared" ca="1" si="120"/>
        <v>11.146111941041729</v>
      </c>
    </row>
    <row r="287" spans="1:16" ht="20.25">
      <c r="A287" s="402"/>
      <c r="B287" s="38"/>
      <c r="C287" s="38"/>
      <c r="D287" s="38"/>
      <c r="E287" s="38" t="s">
        <v>33</v>
      </c>
      <c r="F287" s="38"/>
      <c r="G287" s="40"/>
      <c r="H287" s="120" t="s">
        <v>12</v>
      </c>
      <c r="I287" s="121"/>
      <c r="J287" s="121"/>
      <c r="K287" s="122"/>
      <c r="L287" s="44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+IMPORTRANGE(""https://docs.google.com/spreadsheets/d/1uenpWDAH2bchvfvsSIjpd4bRU5D1faxJOaE"&amp;"34GQM5-c/edit?usp=sharing"",""รวมใต้!L287"")"),3505200)</f>
        <v>3505200</v>
      </c>
      <c r="M287" s="44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+IMPORTRANGE(""https://docs.google.com/spreadsheets/d/1uenpWDAH2bchvfvsSIjpd4bRU5D1faxJOaE"&amp;"34GQM5-c/edit?usp=sharing"",""รวมใต้!M287"")"),2792500)</f>
        <v>2792500</v>
      </c>
      <c r="N287" s="44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+IMPORTRANGE(""https://docs.google.com/spreadsheets/d/1uenpWDAH2bchvfvsSIjpd4bRU5D1faxJOaE"&amp;"34GQM5-c/edit?usp=sharing"",""รวมใต้!N287"")"),793147.299999999)</f>
        <v>793147.299999999</v>
      </c>
      <c r="O287" s="44">
        <f t="shared" ca="1" si="119"/>
        <v>22.627733082277729</v>
      </c>
      <c r="P287" s="369">
        <f t="shared" ca="1" si="120"/>
        <v>28.402768128916705</v>
      </c>
    </row>
    <row r="288" spans="1:16" ht="20.25">
      <c r="A288" s="402"/>
      <c r="B288" s="38"/>
      <c r="C288" s="38"/>
      <c r="D288" s="39" t="s">
        <v>19</v>
      </c>
      <c r="E288" s="38"/>
      <c r="F288" s="38"/>
      <c r="G288" s="40"/>
      <c r="H288" s="123" t="s">
        <v>12</v>
      </c>
      <c r="I288" s="121"/>
      <c r="J288" s="121"/>
      <c r="K288" s="122"/>
      <c r="L288" s="44">
        <f t="shared" ref="L288:N288" ca="1" si="124">L289+L290</f>
        <v>0</v>
      </c>
      <c r="M288" s="44">
        <f t="shared" ca="1" si="124"/>
        <v>0</v>
      </c>
      <c r="N288" s="44">
        <f t="shared" ca="1" si="124"/>
        <v>0</v>
      </c>
      <c r="O288" s="44">
        <f t="shared" ca="1" si="119"/>
        <v>0</v>
      </c>
      <c r="P288" s="369">
        <f t="shared" ca="1" si="120"/>
        <v>0</v>
      </c>
    </row>
    <row r="289" spans="1:16" ht="20.25">
      <c r="A289" s="402"/>
      <c r="B289" s="38"/>
      <c r="C289" s="38"/>
      <c r="D289" s="38"/>
      <c r="E289" s="38" t="s">
        <v>16</v>
      </c>
      <c r="F289" s="38"/>
      <c r="G289" s="40"/>
      <c r="H289" s="120" t="s">
        <v>12</v>
      </c>
      <c r="I289" s="121"/>
      <c r="J289" s="121"/>
      <c r="K289" s="122"/>
      <c r="L289" s="44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+IMPORTRANGE(""https://docs.google.com/spreadsheets/d/1uenpWDAH2bchvfvsSIjpd4bRU5D1faxJOaE"&amp;"34GQM5-c/edit?usp=sharing"",""รวมใต้!L289"")"),0)</f>
        <v>0</v>
      </c>
      <c r="M289" s="44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+IMPORTRANGE(""https://docs.google.com/spreadsheets/d/1uenpWDAH2bchvfvsSIjpd4bRU5D1faxJOaE"&amp;"34GQM5-c/edit?usp=sharing"",""รวมใต้!M289"")"),0)</f>
        <v>0</v>
      </c>
      <c r="N289" s="44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+IMPORTRANGE(""https://docs.google.com/spreadsheets/d/1uenpWDAH2bchvfvsSIjpd4bRU5D1faxJOaE"&amp;"34GQM5-c/edit?usp=sharing"",""รวมใต้!N289"")"),0)</f>
        <v>0</v>
      </c>
      <c r="O289" s="44">
        <f t="shared" ca="1" si="119"/>
        <v>0</v>
      </c>
      <c r="P289" s="369">
        <f t="shared" ca="1" si="120"/>
        <v>0</v>
      </c>
    </row>
    <row r="290" spans="1:16" ht="20.25">
      <c r="A290" s="402"/>
      <c r="B290" s="38"/>
      <c r="C290" s="38"/>
      <c r="D290" s="38"/>
      <c r="E290" s="38" t="s">
        <v>17</v>
      </c>
      <c r="F290" s="38"/>
      <c r="G290" s="40"/>
      <c r="H290" s="123" t="s">
        <v>12</v>
      </c>
      <c r="I290" s="121"/>
      <c r="J290" s="121"/>
      <c r="K290" s="122"/>
      <c r="L290" s="44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+IMPORTRANGE(""https://docs.google.com/spreadsheets/d/1uenpWDAH2bchvfvsSIjpd4bRU5D1faxJOaE"&amp;"34GQM5-c/edit?usp=sharing"",""รวมใต้!L290"")"),0)</f>
        <v>0</v>
      </c>
      <c r="M290" s="44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+IMPORTRANGE(""https://docs.google.com/spreadsheets/d/1uenpWDAH2bchvfvsSIjpd4bRU5D1faxJOaE"&amp;"34GQM5-c/edit?usp=sharing"",""รวมใต้!M290"")"),0)</f>
        <v>0</v>
      </c>
      <c r="N290" s="44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+IMPORTRANGE(""https://docs.google.com/spreadsheets/d/1uenpWDAH2bchvfvsSIjpd4bRU5D1faxJOaE"&amp;"34GQM5-c/edit?usp=sharing"",""รวมใต้!N290"")"),0)</f>
        <v>0</v>
      </c>
      <c r="O290" s="44">
        <f t="shared" ca="1" si="119"/>
        <v>0</v>
      </c>
      <c r="P290" s="369">
        <f t="shared" ca="1" si="120"/>
        <v>0</v>
      </c>
    </row>
    <row r="291" spans="1:16" ht="20.25">
      <c r="A291" s="404"/>
      <c r="B291" s="124"/>
      <c r="C291" s="480" t="s">
        <v>14</v>
      </c>
      <c r="D291" s="125" t="s">
        <v>34</v>
      </c>
      <c r="E291" s="126"/>
      <c r="F291" s="126"/>
      <c r="G291" s="127"/>
      <c r="H291" s="128"/>
      <c r="I291" s="121"/>
      <c r="J291" s="121"/>
      <c r="K291" s="122"/>
      <c r="L291" s="122"/>
      <c r="M291" s="122"/>
      <c r="N291" s="122"/>
      <c r="O291" s="122"/>
      <c r="P291" s="405"/>
    </row>
    <row r="292" spans="1:16" ht="20.25">
      <c r="A292" s="404"/>
      <c r="B292" s="124"/>
      <c r="C292" s="124"/>
      <c r="D292" s="130" t="s">
        <v>109</v>
      </c>
      <c r="E292" s="124"/>
      <c r="F292" s="130"/>
      <c r="G292" s="128"/>
      <c r="H292" s="137" t="s">
        <v>42</v>
      </c>
      <c r="I292" s="145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+IMPORTRANGE(""https://docs.google.com/spreadsheets/d/1uenpWDAH2bchvfvsSIjpd4bRU5D1faxJOaE"&amp;"34GQM5-c/edit?usp=sharing"",""รวมใต้!I292"")"),6600)</f>
        <v>6600</v>
      </c>
      <c r="J292" s="145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+IMPORTRANGE(""https://docs.google.com/spreadsheets/d/1uenpWDAH2bchvfvsSIjpd4bRU5D1faxJOaE"&amp;"34GQM5-c/edit?usp=sharing"",""รวมใต้!J292"")"),1300)</f>
        <v>1300</v>
      </c>
      <c r="K292" s="136">
        <f t="shared" ref="K292:K293" ca="1" si="125">IF(I292&gt;0,J292*100/I292,0)</f>
        <v>19.696969696969695</v>
      </c>
      <c r="L292" s="122"/>
      <c r="M292" s="122"/>
      <c r="N292" s="122"/>
      <c r="O292" s="122"/>
      <c r="P292" s="405"/>
    </row>
    <row r="293" spans="1:16" ht="20.25">
      <c r="A293" s="404"/>
      <c r="B293" s="124"/>
      <c r="C293" s="124"/>
      <c r="D293" s="130" t="s">
        <v>110</v>
      </c>
      <c r="E293" s="124"/>
      <c r="F293" s="130"/>
      <c r="G293" s="128"/>
      <c r="H293" s="131" t="s">
        <v>31</v>
      </c>
      <c r="I293" s="132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+IMPORTRANGE(""https://docs.google.com/spreadsheets/d/1uenpWDAH2bchvfvsSIjpd4bRU5D1faxJOaE"&amp;"34GQM5-c/edit?usp=sharing"",""รวมใต้!I293"")"),660)</f>
        <v>660</v>
      </c>
      <c r="J293" s="132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+IMPORTRANGE(""https://docs.google.com/spreadsheets/d/1uenpWDAH2bchvfvsSIjpd4bRU5D1faxJOaE"&amp;"34GQM5-c/edit?usp=sharing"",""รวมใต้!J293"")"),130)</f>
        <v>130</v>
      </c>
      <c r="K293" s="133">
        <f t="shared" ca="1" si="125"/>
        <v>19.696969696969695</v>
      </c>
      <c r="L293" s="122"/>
      <c r="M293" s="122"/>
      <c r="N293" s="122"/>
      <c r="O293" s="122"/>
      <c r="P293" s="405"/>
    </row>
    <row r="294" spans="1:16" ht="20.25">
      <c r="A294" s="404"/>
      <c r="B294" s="124"/>
      <c r="C294" s="124"/>
      <c r="D294" s="130"/>
      <c r="E294" s="144" t="s">
        <v>147</v>
      </c>
      <c r="F294" s="130"/>
      <c r="G294" s="128"/>
      <c r="H294" s="128"/>
      <c r="I294" s="121"/>
      <c r="J294" s="121"/>
      <c r="K294" s="122"/>
      <c r="L294" s="122"/>
      <c r="M294" s="122"/>
      <c r="N294" s="122"/>
      <c r="O294" s="122"/>
      <c r="P294" s="405"/>
    </row>
    <row r="295" spans="1:16" ht="20.25">
      <c r="A295" s="404"/>
      <c r="B295" s="124"/>
      <c r="C295" s="124"/>
      <c r="D295" s="130"/>
      <c r="E295" s="130" t="s">
        <v>148</v>
      </c>
      <c r="F295" s="130"/>
      <c r="G295" s="128"/>
      <c r="H295" s="134" t="s">
        <v>31</v>
      </c>
      <c r="I295" s="135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+IMPORTRANGE(""https://docs.google.com/spreadsheets/d/1uenpWDAH2bchvfvsSIjpd4bRU5D1faxJOaE"&amp;"34GQM5-c/edit?usp=sharing"",""รวมใต้!I295"")"),660)</f>
        <v>660</v>
      </c>
      <c r="J295" s="135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+IMPORTRANGE(""https://docs.google.com/spreadsheets/d/1uenpWDAH2bchvfvsSIjpd4bRU5D1faxJOaE"&amp;"34GQM5-c/edit?usp=sharing"",""รวมใต้!J295"")"),130)</f>
        <v>130</v>
      </c>
      <c r="K295" s="136">
        <f t="shared" ref="K295:K296" ca="1" si="126">IF(I295&gt;0,J295*100/I295,0)</f>
        <v>19.696969696969695</v>
      </c>
      <c r="L295" s="122"/>
      <c r="M295" s="122"/>
      <c r="N295" s="122"/>
      <c r="O295" s="122"/>
      <c r="P295" s="405"/>
    </row>
    <row r="296" spans="1:16" ht="20.25">
      <c r="A296" s="404"/>
      <c r="B296" s="124"/>
      <c r="C296" s="124"/>
      <c r="D296" s="130"/>
      <c r="E296" s="130" t="s">
        <v>149</v>
      </c>
      <c r="F296" s="130"/>
      <c r="G296" s="128"/>
      <c r="H296" s="134" t="s">
        <v>31</v>
      </c>
      <c r="I296" s="135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+IMPORTRANGE(""https://docs.google.com/spreadsheets/d/1uenpWDAH2bchvfvsSIjpd4bRU5D1faxJOaE"&amp;"34GQM5-c/edit?usp=sharing"",""รวมใต้!I296"")"),660)</f>
        <v>660</v>
      </c>
      <c r="J296" s="135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+IMPORTRANGE(""https://docs.google.com/spreadsheets/d/1uenpWDAH2bchvfvsSIjpd4bRU5D1faxJOaE"&amp;"34GQM5-c/edit?usp=sharing"",""รวมใต้!J296"")"),130)</f>
        <v>130</v>
      </c>
      <c r="K296" s="136">
        <f t="shared" ca="1" si="126"/>
        <v>19.696969696969695</v>
      </c>
      <c r="L296" s="122"/>
      <c r="M296" s="122"/>
      <c r="N296" s="122"/>
      <c r="O296" s="122"/>
      <c r="P296" s="405"/>
    </row>
    <row r="297" spans="1:16" ht="20.25" hidden="1">
      <c r="A297" s="435"/>
      <c r="B297" s="155"/>
      <c r="C297" s="155"/>
      <c r="D297" s="8"/>
      <c r="E297" s="9"/>
      <c r="F297" s="8"/>
      <c r="G297" s="11"/>
      <c r="H297" s="11"/>
      <c r="I297" s="13"/>
      <c r="J297" s="13"/>
      <c r="K297" s="14"/>
      <c r="L297" s="14"/>
      <c r="M297" s="14"/>
      <c r="N297" s="14"/>
      <c r="O297" s="14"/>
      <c r="P297" s="407"/>
    </row>
    <row r="298" spans="1:16" ht="20.25" hidden="1">
      <c r="A298" s="435"/>
      <c r="B298" s="155"/>
      <c r="C298" s="155"/>
      <c r="D298" s="8"/>
      <c r="E298" s="8"/>
      <c r="F298" s="8"/>
      <c r="G298" s="11"/>
      <c r="H298" s="16"/>
      <c r="I298" s="156"/>
      <c r="J298" s="156"/>
      <c r="K298" s="17"/>
      <c r="L298" s="14"/>
      <c r="M298" s="14"/>
      <c r="N298" s="14"/>
      <c r="O298" s="14"/>
      <c r="P298" s="407"/>
    </row>
    <row r="299" spans="1:16" ht="20.25" hidden="1">
      <c r="A299" s="446"/>
      <c r="B299" s="447"/>
      <c r="C299" s="447"/>
      <c r="D299" s="448"/>
      <c r="E299" s="448"/>
      <c r="F299" s="448"/>
      <c r="G299" s="265"/>
      <c r="H299" s="266"/>
      <c r="I299" s="267"/>
      <c r="J299" s="267"/>
      <c r="K299" s="268"/>
      <c r="L299" s="269"/>
      <c r="M299" s="269"/>
      <c r="N299" s="269"/>
      <c r="O299" s="269"/>
      <c r="P299" s="449"/>
    </row>
    <row r="300" spans="1:16" ht="20.25">
      <c r="A300" s="450" t="s">
        <v>111</v>
      </c>
      <c r="B300" s="270"/>
      <c r="C300" s="270"/>
      <c r="D300" s="270"/>
      <c r="E300" s="271"/>
      <c r="F300" s="271"/>
      <c r="G300" s="271"/>
      <c r="H300" s="271"/>
      <c r="I300" s="272"/>
      <c r="J300" s="272"/>
      <c r="K300" s="273"/>
      <c r="L300" s="273"/>
      <c r="M300" s="273"/>
      <c r="N300" s="273"/>
      <c r="O300" s="273"/>
      <c r="P300" s="451"/>
    </row>
    <row r="301" spans="1:16" ht="20.25">
      <c r="A301" s="452" t="s">
        <v>112</v>
      </c>
      <c r="B301" s="274"/>
      <c r="C301" s="274"/>
      <c r="D301" s="275"/>
      <c r="E301" s="275"/>
      <c r="F301" s="275"/>
      <c r="G301" s="276"/>
      <c r="H301" s="276"/>
      <c r="I301" s="277"/>
      <c r="J301" s="277"/>
      <c r="K301" s="278"/>
      <c r="L301" s="278"/>
      <c r="M301" s="278"/>
      <c r="N301" s="278"/>
      <c r="O301" s="278"/>
      <c r="P301" s="453"/>
    </row>
    <row r="302" spans="1:16" ht="20.25">
      <c r="A302" s="454"/>
      <c r="B302" s="279" t="s">
        <v>113</v>
      </c>
      <c r="C302" s="280"/>
      <c r="D302" s="280"/>
      <c r="E302" s="280"/>
      <c r="F302" s="280"/>
      <c r="G302" s="281"/>
      <c r="H302" s="282" t="s">
        <v>31</v>
      </c>
      <c r="I302" s="283">
        <f t="shared" ref="I302:J302" ca="1" si="127">I314</f>
        <v>530</v>
      </c>
      <c r="J302" s="283">
        <f t="shared" ca="1" si="127"/>
        <v>65</v>
      </c>
      <c r="K302" s="284">
        <f ca="1">IF(I302&gt;0,J302*100/I302,0)</f>
        <v>12.264150943396226</v>
      </c>
      <c r="L302" s="285"/>
      <c r="M302" s="285"/>
      <c r="N302" s="285"/>
      <c r="O302" s="285"/>
      <c r="P302" s="455"/>
    </row>
    <row r="303" spans="1:16" ht="20.25">
      <c r="A303" s="402"/>
      <c r="B303" s="38"/>
      <c r="C303" s="480" t="s">
        <v>14</v>
      </c>
      <c r="D303" s="116" t="s">
        <v>15</v>
      </c>
      <c r="E303" s="38"/>
      <c r="F303" s="38"/>
      <c r="G303" s="40"/>
      <c r="H303" s="117" t="s">
        <v>12</v>
      </c>
      <c r="I303" s="42"/>
      <c r="J303" s="42"/>
      <c r="K303" s="43"/>
      <c r="L303" s="118">
        <f t="shared" ref="L303:N303" ca="1" si="128">L304+L305</f>
        <v>5557300</v>
      </c>
      <c r="M303" s="118">
        <f t="shared" ca="1" si="128"/>
        <v>4385900</v>
      </c>
      <c r="N303" s="118">
        <f t="shared" ca="1" si="128"/>
        <v>977595.18</v>
      </c>
      <c r="O303" s="118">
        <f t="shared" ref="O303:O311" ca="1" si="129">IF(L303&gt;0,N303*100/L303,0)</f>
        <v>17.591189606463569</v>
      </c>
      <c r="P303" s="403">
        <f t="shared" ref="P303:P311" ca="1" si="130">IF(M303&gt;0,N303*100/M303,0)</f>
        <v>22.289499988599832</v>
      </c>
    </row>
    <row r="304" spans="1:16" ht="20.25">
      <c r="A304" s="402"/>
      <c r="B304" s="38"/>
      <c r="C304" s="38"/>
      <c r="D304" s="38"/>
      <c r="E304" s="38" t="s">
        <v>16</v>
      </c>
      <c r="F304" s="38"/>
      <c r="G304" s="40"/>
      <c r="H304" s="119" t="s">
        <v>12</v>
      </c>
      <c r="I304" s="42"/>
      <c r="J304" s="42"/>
      <c r="K304" s="43"/>
      <c r="L304" s="44">
        <f t="shared" ref="L304:N304" ca="1" si="131">L307+L310</f>
        <v>1129300</v>
      </c>
      <c r="M304" s="44">
        <f t="shared" ca="1" si="131"/>
        <v>1077300</v>
      </c>
      <c r="N304" s="44">
        <f t="shared" ca="1" si="131"/>
        <v>112674</v>
      </c>
      <c r="O304" s="44">
        <f t="shared" ca="1" si="129"/>
        <v>9.9773310900557863</v>
      </c>
      <c r="P304" s="369">
        <f t="shared" ca="1" si="130"/>
        <v>10.458925090504039</v>
      </c>
    </row>
    <row r="305" spans="1:16" ht="20.25">
      <c r="A305" s="402"/>
      <c r="B305" s="38"/>
      <c r="C305" s="38"/>
      <c r="D305" s="38"/>
      <c r="E305" s="38" t="s">
        <v>17</v>
      </c>
      <c r="F305" s="38"/>
      <c r="G305" s="40"/>
      <c r="H305" s="119" t="s">
        <v>12</v>
      </c>
      <c r="I305" s="42"/>
      <c r="J305" s="42"/>
      <c r="K305" s="43"/>
      <c r="L305" s="44">
        <f t="shared" ref="L305:N305" ca="1" si="132">L308+L311</f>
        <v>4428000</v>
      </c>
      <c r="M305" s="44">
        <f t="shared" ca="1" si="132"/>
        <v>3308600</v>
      </c>
      <c r="N305" s="44">
        <f t="shared" ca="1" si="132"/>
        <v>864921.18</v>
      </c>
      <c r="O305" s="44">
        <f t="shared" ca="1" si="129"/>
        <v>19.532998644986449</v>
      </c>
      <c r="P305" s="369">
        <f t="shared" ca="1" si="130"/>
        <v>26.141606117391042</v>
      </c>
    </row>
    <row r="306" spans="1:16" ht="20.25">
      <c r="A306" s="402"/>
      <c r="B306" s="38"/>
      <c r="C306" s="38"/>
      <c r="D306" s="39" t="s">
        <v>18</v>
      </c>
      <c r="E306" s="38"/>
      <c r="F306" s="38"/>
      <c r="G306" s="40"/>
      <c r="H306" s="120" t="s">
        <v>12</v>
      </c>
      <c r="I306" s="121"/>
      <c r="J306" s="121"/>
      <c r="K306" s="122"/>
      <c r="L306" s="44">
        <f t="shared" ref="L306:N306" ca="1" si="133">L307+L308</f>
        <v>5557300</v>
      </c>
      <c r="M306" s="44">
        <f t="shared" ca="1" si="133"/>
        <v>4385900</v>
      </c>
      <c r="N306" s="44">
        <f t="shared" ca="1" si="133"/>
        <v>977595.18</v>
      </c>
      <c r="O306" s="44">
        <f t="shared" ca="1" si="129"/>
        <v>17.591189606463569</v>
      </c>
      <c r="P306" s="369">
        <f t="shared" ca="1" si="130"/>
        <v>22.289499988599832</v>
      </c>
    </row>
    <row r="307" spans="1:16" ht="20.25">
      <c r="A307" s="402"/>
      <c r="B307" s="38"/>
      <c r="C307" s="38"/>
      <c r="D307" s="38"/>
      <c r="E307" s="38" t="s">
        <v>32</v>
      </c>
      <c r="F307" s="38"/>
      <c r="G307" s="40"/>
      <c r="H307" s="120" t="s">
        <v>12</v>
      </c>
      <c r="I307" s="121"/>
      <c r="J307" s="121"/>
      <c r="K307" s="122"/>
      <c r="L307" s="44">
        <f ca="1">IFERROR(__xludf.DUMMYFUNCTION("IMPORTRANGE(""https://docs.google.com/spreadsheets/d/1-uDff_7J0KD5mKrp0Vvzr7lt3OU09vwQwhkpOPPYv2Y/edit?usp=sharing"",""งบพรบ!DY9"")"),1129300)</f>
        <v>1129300</v>
      </c>
      <c r="M307" s="44">
        <f ca="1">IFERROR(__xludf.DUMMYFUNCTION("IMPORTRANGE(""https://docs.google.com/spreadsheets/d/1-uDff_7J0KD5mKrp0Vvzr7lt3OU09vwQwhkpOPPYv2Y/edit?usp=sharing"",""งบพรบ!ED9"")"),1077300)</f>
        <v>1077300</v>
      </c>
      <c r="N307" s="44">
        <f ca="1">IFERROR(__xludf.DUMMYFUNCTION("IMPORTRANGE(""https://docs.google.com/spreadsheets/d/1-uDff_7J0KD5mKrp0Vvzr7lt3OU09vwQwhkpOPPYv2Y/edit?usp=sharing"",""งบพรบ!EF9"")"),112674)</f>
        <v>112674</v>
      </c>
      <c r="O307" s="44">
        <f t="shared" ca="1" si="129"/>
        <v>9.9773310900557863</v>
      </c>
      <c r="P307" s="369">
        <f t="shared" ca="1" si="130"/>
        <v>10.458925090504039</v>
      </c>
    </row>
    <row r="308" spans="1:16" ht="20.25">
      <c r="A308" s="402"/>
      <c r="B308" s="38"/>
      <c r="C308" s="38"/>
      <c r="D308" s="38"/>
      <c r="E308" s="38" t="s">
        <v>33</v>
      </c>
      <c r="F308" s="38"/>
      <c r="G308" s="40"/>
      <c r="H308" s="120" t="s">
        <v>12</v>
      </c>
      <c r="I308" s="121"/>
      <c r="J308" s="121"/>
      <c r="K308" s="122"/>
      <c r="L308" s="44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+IMPORTRANGE(""https://docs.google.com/spreadsheets/d/1uenpWDAH2bchvfvsSIjpd4bRU5D1faxJOaE"&amp;"34GQM5-c/edit?usp=sharing"",""รวมใต้!L308"")"),4428000)</f>
        <v>4428000</v>
      </c>
      <c r="M308" s="44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+IMPORTRANGE(""https://docs.google.com/spreadsheets/d/1uenpWDAH2bchvfvsSIjpd4bRU5D1faxJOaE"&amp;"34GQM5-c/edit?usp=sharing"",""รวมใต้!M308"")"),3308600)</f>
        <v>3308600</v>
      </c>
      <c r="N308" s="44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+IMPORTRANGE(""https://docs.google.com/spreadsheets/d/1uenpWDAH2bchvfvsSIjpd4bRU5D1faxJOaE"&amp;"34GQM5-c/edit?usp=sharing"",""รวมใต้!N308"")"),864921.18)</f>
        <v>864921.18</v>
      </c>
      <c r="O308" s="44">
        <f t="shared" ca="1" si="129"/>
        <v>19.532998644986449</v>
      </c>
      <c r="P308" s="369">
        <f t="shared" ca="1" si="130"/>
        <v>26.141606117391042</v>
      </c>
    </row>
    <row r="309" spans="1:16" ht="20.25">
      <c r="A309" s="402"/>
      <c r="B309" s="38"/>
      <c r="C309" s="38"/>
      <c r="D309" s="39" t="s">
        <v>19</v>
      </c>
      <c r="E309" s="38"/>
      <c r="F309" s="38"/>
      <c r="G309" s="40"/>
      <c r="H309" s="123" t="s">
        <v>12</v>
      </c>
      <c r="I309" s="121"/>
      <c r="J309" s="121"/>
      <c r="K309" s="122"/>
      <c r="L309" s="44">
        <f t="shared" ref="L309:N309" ca="1" si="134">L310+L311</f>
        <v>0</v>
      </c>
      <c r="M309" s="44">
        <f t="shared" ca="1" si="134"/>
        <v>0</v>
      </c>
      <c r="N309" s="44">
        <f t="shared" ca="1" si="134"/>
        <v>0</v>
      </c>
      <c r="O309" s="44">
        <f t="shared" ca="1" si="129"/>
        <v>0</v>
      </c>
      <c r="P309" s="369">
        <f t="shared" ca="1" si="130"/>
        <v>0</v>
      </c>
    </row>
    <row r="310" spans="1:16" ht="20.25">
      <c r="A310" s="402"/>
      <c r="B310" s="38"/>
      <c r="C310" s="38"/>
      <c r="D310" s="38"/>
      <c r="E310" s="38" t="s">
        <v>16</v>
      </c>
      <c r="F310" s="38"/>
      <c r="G310" s="40"/>
      <c r="H310" s="120" t="s">
        <v>12</v>
      </c>
      <c r="I310" s="121"/>
      <c r="J310" s="121"/>
      <c r="K310" s="122"/>
      <c r="L310" s="44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+IMPORTRANGE(""https://docs.google.com/spreadsheets/d/1uenpWDAH2bchvfvsSIjpd4bRU5D1faxJOaE"&amp;"34GQM5-c/edit?usp=sharing"",""รวมใต้!L310"")"),0)</f>
        <v>0</v>
      </c>
      <c r="M310" s="44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+IMPORTRANGE(""https://docs.google.com/spreadsheets/d/1uenpWDAH2bchvfvsSIjpd4bRU5D1faxJOaE"&amp;"34GQM5-c/edit?usp=sharing"",""รวมใต้!M310"")"),0)</f>
        <v>0</v>
      </c>
      <c r="N310" s="44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+IMPORTRANGE(""https://docs.google.com/spreadsheets/d/1uenpWDAH2bchvfvsSIjpd4bRU5D1faxJOaE"&amp;"34GQM5-c/edit?usp=sharing"",""รวมใต้!N310"")"),0)</f>
        <v>0</v>
      </c>
      <c r="O310" s="44">
        <f t="shared" ca="1" si="129"/>
        <v>0</v>
      </c>
      <c r="P310" s="369">
        <f t="shared" ca="1" si="130"/>
        <v>0</v>
      </c>
    </row>
    <row r="311" spans="1:16" ht="20.25">
      <c r="A311" s="402"/>
      <c r="B311" s="38"/>
      <c r="C311" s="38"/>
      <c r="D311" s="38"/>
      <c r="E311" s="38" t="s">
        <v>17</v>
      </c>
      <c r="F311" s="38"/>
      <c r="G311" s="40"/>
      <c r="H311" s="123" t="s">
        <v>12</v>
      </c>
      <c r="I311" s="121"/>
      <c r="J311" s="121"/>
      <c r="K311" s="122"/>
      <c r="L311" s="44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+IMPORTRANGE(""https://docs.google.com/spreadsheets/d/1uenpWDAH2bchvfvsSIjpd4bRU5D1faxJOaE"&amp;"34GQM5-c/edit?usp=sharing"",""รวมใต้!L311"")"),0)</f>
        <v>0</v>
      </c>
      <c r="M311" s="44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+IMPORTRANGE(""https://docs.google.com/spreadsheets/d/1uenpWDAH2bchvfvsSIjpd4bRU5D1faxJOaE"&amp;"34GQM5-c/edit?usp=sharing"",""รวมใต้!M311"")"),0)</f>
        <v>0</v>
      </c>
      <c r="N311" s="44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+IMPORTRANGE(""https://docs.google.com/spreadsheets/d/1uenpWDAH2bchvfvsSIjpd4bRU5D1faxJOaE"&amp;"34GQM5-c/edit?usp=sharing"",""รวมใต้!N311"")"),0)</f>
        <v>0</v>
      </c>
      <c r="O311" s="44">
        <f t="shared" ca="1" si="129"/>
        <v>0</v>
      </c>
      <c r="P311" s="369">
        <f t="shared" ca="1" si="130"/>
        <v>0</v>
      </c>
    </row>
    <row r="312" spans="1:16" ht="20.25">
      <c r="A312" s="404"/>
      <c r="B312" s="124"/>
      <c r="C312" s="480" t="s">
        <v>14</v>
      </c>
      <c r="D312" s="125" t="s">
        <v>34</v>
      </c>
      <c r="E312" s="126"/>
      <c r="F312" s="126"/>
      <c r="G312" s="127"/>
      <c r="H312" s="128"/>
      <c r="I312" s="42"/>
      <c r="J312" s="42"/>
      <c r="K312" s="43"/>
      <c r="L312" s="43"/>
      <c r="M312" s="43"/>
      <c r="N312" s="43"/>
      <c r="O312" s="43"/>
      <c r="P312" s="412"/>
    </row>
    <row r="313" spans="1:16" ht="20.25">
      <c r="A313" s="404"/>
      <c r="B313" s="124"/>
      <c r="C313" s="124"/>
      <c r="D313" s="130" t="s">
        <v>114</v>
      </c>
      <c r="E313" s="130"/>
      <c r="F313" s="130"/>
      <c r="G313" s="128"/>
      <c r="H313" s="128"/>
      <c r="I313" s="42"/>
      <c r="J313" s="145">
        <f ca="1">IFERROR(__xludf.DUMMYFUNCTION("IMPORTRANGE(""https://docs.google.com/spreadsheets/d/12pGRKgvn2b31Uz_fjAl3XPzZUM_F2_O-zAHL2XHEPZg/edit?usp=sharing"",""รวมเหนือ!J313"")+IMPORTRANGE(""https://docs.google.com/spreadsheets/d/1c0UfJUA6nE6esVMy0kRcX_PENtt96DMxicQpqi3tips/edit?usp=sharing"","""&amp;"รวมตะวันออกเฉียงเหนือ!J313"")+IMPORTRANGE(""https://docs.google.com/spreadsheets/d/1iNWbYmj0agxPDl_yJgGu1eIremFPVMUuMWUKAjBzvrk/edit?usp=sharing"",""รวมกลาง!J313"")++IMPORTRANGE(""https://docs.google.com/spreadsheets/d/1uenpWDAH2bchvfvsSIjpd4bRU5D1faxJOaE"&amp;"34GQM5-c/edit?usp=sharing"",""รวมใต้!J313"")"),2)</f>
        <v>2</v>
      </c>
      <c r="K313" s="43"/>
      <c r="L313" s="43"/>
      <c r="M313" s="43"/>
      <c r="N313" s="43"/>
      <c r="O313" s="43"/>
      <c r="P313" s="412"/>
    </row>
    <row r="314" spans="1:16" ht="20.25">
      <c r="A314" s="404"/>
      <c r="B314" s="124"/>
      <c r="C314" s="124"/>
      <c r="D314" s="130" t="s">
        <v>110</v>
      </c>
      <c r="E314" s="130"/>
      <c r="F314" s="130"/>
      <c r="G314" s="128"/>
      <c r="H314" s="134" t="s">
        <v>31</v>
      </c>
      <c r="I314" s="145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+IMPORTRANGE(""https://docs.google.com/spreadsheets/d/1uenpWDAH2bchvfvsSIjpd4bRU5D1faxJOaE"&amp;"34GQM5-c/edit?usp=sharing"",""รวมใต้!I314"")"),530)</f>
        <v>530</v>
      </c>
      <c r="J314" s="145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+IMPORTRANGE(""https://docs.google.com/spreadsheets/d/1uenpWDAH2bchvfvsSIjpd4bRU5D1faxJOaE"&amp;"34GQM5-c/edit?usp=sharing"",""รวมใต้!J314"")"),65)</f>
        <v>65</v>
      </c>
      <c r="K314" s="44">
        <f t="shared" ref="K314:K317" ca="1" si="135">IF(I314&gt;0,J314*100/I314,0)</f>
        <v>12.264150943396226</v>
      </c>
      <c r="L314" s="43"/>
      <c r="M314" s="43"/>
      <c r="N314" s="43"/>
      <c r="O314" s="43"/>
      <c r="P314" s="412"/>
    </row>
    <row r="315" spans="1:16" ht="20.25">
      <c r="A315" s="404"/>
      <c r="B315" s="124"/>
      <c r="C315" s="124"/>
      <c r="D315" s="130" t="s">
        <v>115</v>
      </c>
      <c r="E315" s="130"/>
      <c r="F315" s="130"/>
      <c r="G315" s="128"/>
      <c r="H315" s="134" t="s">
        <v>31</v>
      </c>
      <c r="I315" s="145">
        <f ca="1">IFERROR(__xludf.DUMMYFUNCTION("IMPORTRANGE(""https://docs.google.com/spreadsheets/d/12pGRKgvn2b31Uz_fjAl3XPzZUM_F2_O-zAHL2XHEPZg/edit?usp=sharing"",""รวมเหนือ!I315"")+IMPORTRANGE(""https://docs.google.com/spreadsheets/d/1c0UfJUA6nE6esVMy0kRcX_PENtt96DMxicQpqi3tips/edit?usp=sharing"","""&amp;"รวมตะวันออกเฉียงเหนือ!I315"")+IMPORTRANGE(""https://docs.google.com/spreadsheets/d/1iNWbYmj0agxPDl_yJgGu1eIremFPVMUuMWUKAjBzvrk/edit?usp=sharing"",""รวมกลาง!I315"")++IMPORTRANGE(""https://docs.google.com/spreadsheets/d/1uenpWDAH2bchvfvsSIjpd4bRU5D1faxJOaE"&amp;"34GQM5-c/edit?usp=sharing"",""รวมใต้!I315"")"),106)</f>
        <v>106</v>
      </c>
      <c r="J315" s="145">
        <f ca="1">IFERROR(__xludf.DUMMYFUNCTION("IMPORTRANGE(""https://docs.google.com/spreadsheets/d/12pGRKgvn2b31Uz_fjAl3XPzZUM_F2_O-zAHL2XHEPZg/edit?usp=sharing"",""รวมเหนือ!J315"")+IMPORTRANGE(""https://docs.google.com/spreadsheets/d/1c0UfJUA6nE6esVMy0kRcX_PENtt96DMxicQpqi3tips/edit?usp=sharing"","""&amp;"รวมตะวันออกเฉียงเหนือ!J315"")+IMPORTRANGE(""https://docs.google.com/spreadsheets/d/1iNWbYmj0agxPDl_yJgGu1eIremFPVMUuMWUKAjBzvrk/edit?usp=sharing"",""รวมกลาง!J315"")++IMPORTRANGE(""https://docs.google.com/spreadsheets/d/1uenpWDAH2bchvfvsSIjpd4bRU5D1faxJOaE"&amp;"34GQM5-c/edit?usp=sharing"",""รวมใต้!J315"")"),5)</f>
        <v>5</v>
      </c>
      <c r="K315" s="44">
        <f t="shared" ca="1" si="135"/>
        <v>4.716981132075472</v>
      </c>
      <c r="L315" s="43"/>
      <c r="M315" s="43"/>
      <c r="N315" s="43"/>
      <c r="O315" s="43"/>
      <c r="P315" s="412"/>
    </row>
    <row r="316" spans="1:16" ht="20.25">
      <c r="A316" s="404"/>
      <c r="B316" s="124"/>
      <c r="C316" s="124"/>
      <c r="D316" s="130" t="s">
        <v>46</v>
      </c>
      <c r="E316" s="130"/>
      <c r="F316" s="130"/>
      <c r="G316" s="128"/>
      <c r="H316" s="134" t="s">
        <v>31</v>
      </c>
      <c r="I316" s="145">
        <f ca="1">IFERROR(__xludf.DUMMYFUNCTION("IMPORTRANGE(""https://docs.google.com/spreadsheets/d/12pGRKgvn2b31Uz_fjAl3XPzZUM_F2_O-zAHL2XHEPZg/edit?usp=sharing"",""รวมเหนือ!I316"")+IMPORTRANGE(""https://docs.google.com/spreadsheets/d/1c0UfJUA6nE6esVMy0kRcX_PENtt96DMxicQpqi3tips/edit?usp=sharing"","""&amp;"รวมตะวันออกเฉียงเหนือ!I316"")+IMPORTRANGE(""https://docs.google.com/spreadsheets/d/1iNWbYmj0agxPDl_yJgGu1eIremFPVMUuMWUKAjBzvrk/edit?usp=sharing"",""รวมกลาง!I316"")++IMPORTRANGE(""https://docs.google.com/spreadsheets/d/1uenpWDAH2bchvfvsSIjpd4bRU5D1faxJOaE"&amp;"34GQM5-c/edit?usp=sharing"",""รวมใต้!I316"")"),530)</f>
        <v>530</v>
      </c>
      <c r="J316" s="145">
        <f ca="1">IFERROR(__xludf.DUMMYFUNCTION("IMPORTRANGE(""https://docs.google.com/spreadsheets/d/12pGRKgvn2b31Uz_fjAl3XPzZUM_F2_O-zAHL2XHEPZg/edit?usp=sharing"",""รวมเหนือ!J316"")+IMPORTRANGE(""https://docs.google.com/spreadsheets/d/1c0UfJUA6nE6esVMy0kRcX_PENtt96DMxicQpqi3tips/edit?usp=sharing"","""&amp;"รวมตะวันออกเฉียงเหนือ!J316"")+IMPORTRANGE(""https://docs.google.com/spreadsheets/d/1iNWbYmj0agxPDl_yJgGu1eIremFPVMUuMWUKAjBzvrk/edit?usp=sharing"",""รวมกลาง!J316"")++IMPORTRANGE(""https://docs.google.com/spreadsheets/d/1uenpWDAH2bchvfvsSIjpd4bRU5D1faxJOaE"&amp;"34GQM5-c/edit?usp=sharing"",""รวมใต้!J316"")"),0)</f>
        <v>0</v>
      </c>
      <c r="K316" s="44">
        <f t="shared" ca="1" si="135"/>
        <v>0</v>
      </c>
      <c r="L316" s="43"/>
      <c r="M316" s="43"/>
      <c r="N316" s="43"/>
      <c r="O316" s="43"/>
      <c r="P316" s="412"/>
    </row>
    <row r="317" spans="1:16" ht="20.25">
      <c r="A317" s="427"/>
      <c r="B317" s="200"/>
      <c r="C317" s="200"/>
      <c r="D317" s="38" t="s">
        <v>116</v>
      </c>
      <c r="E317" s="38"/>
      <c r="F317" s="38"/>
      <c r="G317" s="40"/>
      <c r="H317" s="41" t="s">
        <v>31</v>
      </c>
      <c r="I317" s="145">
        <f ca="1">IFERROR(__xludf.DUMMYFUNCTION("IMPORTRANGE(""https://docs.google.com/spreadsheets/d/12pGRKgvn2b31Uz_fjAl3XPzZUM_F2_O-zAHL2XHEPZg/edit?usp=sharing"",""รวมเหนือ!I317"")+IMPORTRANGE(""https://docs.google.com/spreadsheets/d/1c0UfJUA6nE6esVMy0kRcX_PENtt96DMxicQpqi3tips/edit?usp=sharing"","""&amp;"รวมตะวันออกเฉียงเหนือ!I317"")+IMPORTRANGE(""https://docs.google.com/spreadsheets/d/1iNWbYmj0agxPDl_yJgGu1eIremFPVMUuMWUKAjBzvrk/edit?usp=sharing"",""รวมกลาง!I317"")++IMPORTRANGE(""https://docs.google.com/spreadsheets/d/1uenpWDAH2bchvfvsSIjpd4bRU5D1faxJOaE"&amp;"34GQM5-c/edit?usp=sharing"",""รวมใต้!I317"")"),106)</f>
        <v>106</v>
      </c>
      <c r="J317" s="145">
        <f ca="1">IFERROR(__xludf.DUMMYFUNCTION("IMPORTRANGE(""https://docs.google.com/spreadsheets/d/12pGRKgvn2b31Uz_fjAl3XPzZUM_F2_O-zAHL2XHEPZg/edit?usp=sharing"",""รวมเหนือ!J317"")+IMPORTRANGE(""https://docs.google.com/spreadsheets/d/1c0UfJUA6nE6esVMy0kRcX_PENtt96DMxicQpqi3tips/edit?usp=sharing"","""&amp;"รวมตะวันออกเฉียงเหนือ!J317"")+IMPORTRANGE(""https://docs.google.com/spreadsheets/d/1iNWbYmj0agxPDl_yJgGu1eIremFPVMUuMWUKAjBzvrk/edit?usp=sharing"",""รวมกลาง!J317"")++IMPORTRANGE(""https://docs.google.com/spreadsheets/d/1uenpWDAH2bchvfvsSIjpd4bRU5D1faxJOaE"&amp;"34GQM5-c/edit?usp=sharing"",""รวมใต้!J317"")"),0)</f>
        <v>0</v>
      </c>
      <c r="K317" s="44">
        <f t="shared" ca="1" si="135"/>
        <v>0</v>
      </c>
      <c r="L317" s="43"/>
      <c r="M317" s="43"/>
      <c r="N317" s="43"/>
      <c r="O317" s="43"/>
      <c r="P317" s="412"/>
    </row>
    <row r="318" spans="1:16" ht="20.25">
      <c r="A318" s="452" t="s">
        <v>117</v>
      </c>
      <c r="B318" s="274"/>
      <c r="C318" s="274"/>
      <c r="D318" s="275"/>
      <c r="E318" s="274"/>
      <c r="F318" s="274"/>
      <c r="G318" s="274"/>
      <c r="H318" s="275"/>
      <c r="I318" s="277"/>
      <c r="J318" s="277"/>
      <c r="K318" s="278"/>
      <c r="L318" s="278"/>
      <c r="M318" s="278"/>
      <c r="N318" s="278"/>
      <c r="O318" s="278"/>
      <c r="P318" s="453"/>
    </row>
    <row r="319" spans="1:16" ht="20.25">
      <c r="A319" s="456"/>
      <c r="B319" s="279" t="s">
        <v>118</v>
      </c>
      <c r="C319" s="286"/>
      <c r="D319" s="287"/>
      <c r="E319" s="280"/>
      <c r="F319" s="280"/>
      <c r="G319" s="281"/>
      <c r="H319" s="282" t="s">
        <v>119</v>
      </c>
      <c r="I319" s="283">
        <f t="shared" ref="I319:J319" ca="1" si="136">I330</f>
        <v>10</v>
      </c>
      <c r="J319" s="283">
        <f t="shared" ca="1" si="136"/>
        <v>1</v>
      </c>
      <c r="K319" s="284">
        <f ca="1">IF(I319&gt;0,J319*100/I319,0)</f>
        <v>10</v>
      </c>
      <c r="L319" s="285"/>
      <c r="M319" s="285"/>
      <c r="N319" s="285"/>
      <c r="O319" s="285"/>
      <c r="P319" s="455"/>
    </row>
    <row r="320" spans="1:16" ht="20.25">
      <c r="A320" s="402"/>
      <c r="B320" s="38"/>
      <c r="C320" s="480" t="s">
        <v>14</v>
      </c>
      <c r="D320" s="116" t="s">
        <v>15</v>
      </c>
      <c r="E320" s="38"/>
      <c r="F320" s="38"/>
      <c r="G320" s="40"/>
      <c r="H320" s="117" t="s">
        <v>12</v>
      </c>
      <c r="I320" s="42"/>
      <c r="J320" s="42"/>
      <c r="K320" s="43"/>
      <c r="L320" s="118">
        <f t="shared" ref="L320:N320" ca="1" si="137">L321+L322</f>
        <v>2767600</v>
      </c>
      <c r="M320" s="118">
        <f t="shared" ca="1" si="137"/>
        <v>2177600</v>
      </c>
      <c r="N320" s="118">
        <f t="shared" ca="1" si="137"/>
        <v>370125.05000000005</v>
      </c>
      <c r="O320" s="118">
        <f t="shared" ref="O320:O328" ca="1" si="138">IF(L320&gt;0,N320*100/L320,0)</f>
        <v>13.373502312472903</v>
      </c>
      <c r="P320" s="403">
        <f t="shared" ref="P320:P328" ca="1" si="139">IF(M320&gt;0,N320*100/M320,0)</f>
        <v>16.996925514327703</v>
      </c>
    </row>
    <row r="321" spans="1:16" ht="20.25">
      <c r="A321" s="402"/>
      <c r="B321" s="38"/>
      <c r="C321" s="38"/>
      <c r="D321" s="38"/>
      <c r="E321" s="38" t="s">
        <v>16</v>
      </c>
      <c r="F321" s="38"/>
      <c r="G321" s="40"/>
      <c r="H321" s="119" t="s">
        <v>12</v>
      </c>
      <c r="I321" s="42"/>
      <c r="J321" s="42"/>
      <c r="K321" s="43"/>
      <c r="L321" s="44">
        <f t="shared" ref="L321:N321" ca="1" si="140">L324+L327</f>
        <v>2517600</v>
      </c>
      <c r="M321" s="44">
        <f t="shared" ca="1" si="140"/>
        <v>1867600</v>
      </c>
      <c r="N321" s="44">
        <f t="shared" ca="1" si="140"/>
        <v>267920.95</v>
      </c>
      <c r="O321" s="44">
        <f t="shared" ca="1" si="138"/>
        <v>10.641918891007309</v>
      </c>
      <c r="P321" s="369">
        <f t="shared" ca="1" si="139"/>
        <v>14.34573516813022</v>
      </c>
    </row>
    <row r="322" spans="1:16" ht="20.25">
      <c r="A322" s="402"/>
      <c r="B322" s="38"/>
      <c r="C322" s="38"/>
      <c r="D322" s="38"/>
      <c r="E322" s="38" t="s">
        <v>17</v>
      </c>
      <c r="F322" s="38"/>
      <c r="G322" s="40"/>
      <c r="H322" s="119" t="s">
        <v>12</v>
      </c>
      <c r="I322" s="42"/>
      <c r="J322" s="42"/>
      <c r="K322" s="43"/>
      <c r="L322" s="44">
        <f t="shared" ref="L322:N322" ca="1" si="141">L325+L328</f>
        <v>250000</v>
      </c>
      <c r="M322" s="44">
        <f t="shared" ca="1" si="141"/>
        <v>310000</v>
      </c>
      <c r="N322" s="44">
        <f t="shared" ca="1" si="141"/>
        <v>102204.1</v>
      </c>
      <c r="O322" s="44">
        <f t="shared" ca="1" si="138"/>
        <v>40.881639999999997</v>
      </c>
      <c r="P322" s="369">
        <f t="shared" ca="1" si="139"/>
        <v>32.969064516129031</v>
      </c>
    </row>
    <row r="323" spans="1:16" ht="20.25">
      <c r="A323" s="402"/>
      <c r="B323" s="38"/>
      <c r="C323" s="38"/>
      <c r="D323" s="39" t="s">
        <v>18</v>
      </c>
      <c r="E323" s="38"/>
      <c r="F323" s="38"/>
      <c r="G323" s="40"/>
      <c r="H323" s="120" t="s">
        <v>12</v>
      </c>
      <c r="I323" s="121"/>
      <c r="J323" s="121"/>
      <c r="K323" s="122"/>
      <c r="L323" s="44">
        <f t="shared" ref="L323:N323" ca="1" si="142">L324+L325</f>
        <v>2767600</v>
      </c>
      <c r="M323" s="44">
        <f t="shared" ca="1" si="142"/>
        <v>2177600</v>
      </c>
      <c r="N323" s="44">
        <f t="shared" ca="1" si="142"/>
        <v>370125.05000000005</v>
      </c>
      <c r="O323" s="44">
        <f t="shared" ca="1" si="138"/>
        <v>13.373502312472903</v>
      </c>
      <c r="P323" s="369">
        <f t="shared" ca="1" si="139"/>
        <v>16.996925514327703</v>
      </c>
    </row>
    <row r="324" spans="1:16" ht="20.25">
      <c r="A324" s="402"/>
      <c r="B324" s="38"/>
      <c r="C324" s="38"/>
      <c r="D324" s="38"/>
      <c r="E324" s="38" t="s">
        <v>32</v>
      </c>
      <c r="F324" s="38"/>
      <c r="G324" s="40"/>
      <c r="H324" s="120" t="s">
        <v>12</v>
      </c>
      <c r="I324" s="121"/>
      <c r="J324" s="121"/>
      <c r="K324" s="122"/>
      <c r="L324" s="44">
        <f ca="1">IFERROR(__xludf.DUMMYFUNCTION("IMPORTRANGE(""https://docs.google.com/spreadsheets/d/1-uDff_7J0KD5mKrp0Vvzr7lt3OU09vwQwhkpOPPYv2Y/edit?usp=sharing"",""งบพรบ!EI9"")"),2517600)</f>
        <v>2517600</v>
      </c>
      <c r="M324" s="44">
        <f ca="1">IFERROR(__xludf.DUMMYFUNCTION("IMPORTRANGE(""https://docs.google.com/spreadsheets/d/1-uDff_7J0KD5mKrp0Vvzr7lt3OU09vwQwhkpOPPYv2Y/edit?usp=sharing"",""งบพรบ!EN9"")"),1867600)</f>
        <v>1867600</v>
      </c>
      <c r="N324" s="44">
        <f ca="1">IFERROR(__xludf.DUMMYFUNCTION("IMPORTRANGE(""https://docs.google.com/spreadsheets/d/1-uDff_7J0KD5mKrp0Vvzr7lt3OU09vwQwhkpOPPYv2Y/edit?usp=sharing"",""งบพรบ!EP9"")"),267920.95)</f>
        <v>267920.95</v>
      </c>
      <c r="O324" s="44">
        <f t="shared" ca="1" si="138"/>
        <v>10.641918891007309</v>
      </c>
      <c r="P324" s="369">
        <f t="shared" ca="1" si="139"/>
        <v>14.34573516813022</v>
      </c>
    </row>
    <row r="325" spans="1:16" ht="20.25">
      <c r="A325" s="402"/>
      <c r="B325" s="38"/>
      <c r="C325" s="38"/>
      <c r="D325" s="38"/>
      <c r="E325" s="38" t="s">
        <v>33</v>
      </c>
      <c r="F325" s="38"/>
      <c r="G325" s="40"/>
      <c r="H325" s="120" t="s">
        <v>12</v>
      </c>
      <c r="I325" s="121"/>
      <c r="J325" s="121"/>
      <c r="K325" s="122"/>
      <c r="L325" s="44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+IMPORTRANGE(""https://docs.google.com/spreadsheets/d/1uenpWDAH2bchvfvsSIjpd4bRU5D1faxJOaE"&amp;"34GQM5-c/edit?usp=sharing"",""รวมใต้!L325"")"),250000)</f>
        <v>250000</v>
      </c>
      <c r="M325" s="44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+IMPORTRANGE(""https://docs.google.com/spreadsheets/d/1uenpWDAH2bchvfvsSIjpd4bRU5D1faxJOaE"&amp;"34GQM5-c/edit?usp=sharing"",""รวมใต้!M325"")"),310000)</f>
        <v>310000</v>
      </c>
      <c r="N325" s="44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+IMPORTRANGE(""https://docs.google.com/spreadsheets/d/1uenpWDAH2bchvfvsSIjpd4bRU5D1faxJOaE"&amp;"34GQM5-c/edit?usp=sharing"",""รวมใต้!N325"")"),102204.1)</f>
        <v>102204.1</v>
      </c>
      <c r="O325" s="44">
        <f t="shared" ca="1" si="138"/>
        <v>40.881639999999997</v>
      </c>
      <c r="P325" s="369">
        <f t="shared" ca="1" si="139"/>
        <v>32.969064516129031</v>
      </c>
    </row>
    <row r="326" spans="1:16" ht="20.25">
      <c r="A326" s="402"/>
      <c r="B326" s="38"/>
      <c r="C326" s="38"/>
      <c r="D326" s="39" t="s">
        <v>19</v>
      </c>
      <c r="E326" s="38"/>
      <c r="F326" s="38"/>
      <c r="G326" s="40"/>
      <c r="H326" s="123" t="s">
        <v>12</v>
      </c>
      <c r="I326" s="121"/>
      <c r="J326" s="121"/>
      <c r="K326" s="122"/>
      <c r="L326" s="44">
        <f t="shared" ref="L326:N326" ca="1" si="143">L327+L328</f>
        <v>0</v>
      </c>
      <c r="M326" s="44">
        <f t="shared" ca="1" si="143"/>
        <v>0</v>
      </c>
      <c r="N326" s="44">
        <f t="shared" ca="1" si="143"/>
        <v>0</v>
      </c>
      <c r="O326" s="44">
        <f t="shared" ca="1" si="138"/>
        <v>0</v>
      </c>
      <c r="P326" s="369">
        <f t="shared" ca="1" si="139"/>
        <v>0</v>
      </c>
    </row>
    <row r="327" spans="1:16" ht="20.25">
      <c r="A327" s="402"/>
      <c r="B327" s="38"/>
      <c r="C327" s="38"/>
      <c r="D327" s="38"/>
      <c r="E327" s="38" t="s">
        <v>16</v>
      </c>
      <c r="F327" s="38"/>
      <c r="G327" s="40"/>
      <c r="H327" s="120" t="s">
        <v>12</v>
      </c>
      <c r="I327" s="121"/>
      <c r="J327" s="121"/>
      <c r="K327" s="122"/>
      <c r="L327" s="44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+IMPORTRANGE(""https://docs.google.com/spreadsheets/d/1uenpWDAH2bchvfvsSIjpd4bRU5D1faxJOaE"&amp;"34GQM5-c/edit?usp=sharing"",""รวมใต้!L327"")"),0)</f>
        <v>0</v>
      </c>
      <c r="M327" s="44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+IMPORTRANGE(""https://docs.google.com/spreadsheets/d/1uenpWDAH2bchvfvsSIjpd4bRU5D1faxJOaE"&amp;"34GQM5-c/edit?usp=sharing"",""รวมใต้!M327"")"),0)</f>
        <v>0</v>
      </c>
      <c r="N327" s="44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+IMPORTRANGE(""https://docs.google.com/spreadsheets/d/1uenpWDAH2bchvfvsSIjpd4bRU5D1faxJOaE"&amp;"34GQM5-c/edit?usp=sharing"",""รวมใต้!N327"")"),0)</f>
        <v>0</v>
      </c>
      <c r="O327" s="44">
        <f t="shared" ca="1" si="138"/>
        <v>0</v>
      </c>
      <c r="P327" s="369">
        <f t="shared" ca="1" si="139"/>
        <v>0</v>
      </c>
    </row>
    <row r="328" spans="1:16" ht="20.25">
      <c r="A328" s="402"/>
      <c r="B328" s="38"/>
      <c r="C328" s="38"/>
      <c r="D328" s="38"/>
      <c r="E328" s="38" t="s">
        <v>17</v>
      </c>
      <c r="F328" s="38"/>
      <c r="G328" s="40"/>
      <c r="H328" s="123" t="s">
        <v>12</v>
      </c>
      <c r="I328" s="121"/>
      <c r="J328" s="121"/>
      <c r="K328" s="122"/>
      <c r="L328" s="44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+IMPORTRANGE(""https://docs.google.com/spreadsheets/d/1uenpWDAH2bchvfvsSIjpd4bRU5D1faxJOaE"&amp;"34GQM5-c/edit?usp=sharing"",""รวมใต้!L328"")"),0)</f>
        <v>0</v>
      </c>
      <c r="M328" s="44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+IMPORTRANGE(""https://docs.google.com/spreadsheets/d/1uenpWDAH2bchvfvsSIjpd4bRU5D1faxJOaE"&amp;"34GQM5-c/edit?usp=sharing"",""รวมใต้!M328"")"),0)</f>
        <v>0</v>
      </c>
      <c r="N328" s="44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+IMPORTRANGE(""https://docs.google.com/spreadsheets/d/1uenpWDAH2bchvfvsSIjpd4bRU5D1faxJOaE"&amp;"34GQM5-c/edit?usp=sharing"",""รวมใต้!N328"")"),0)</f>
        <v>0</v>
      </c>
      <c r="O328" s="44">
        <f t="shared" ca="1" si="138"/>
        <v>0</v>
      </c>
      <c r="P328" s="369">
        <f t="shared" ca="1" si="139"/>
        <v>0</v>
      </c>
    </row>
    <row r="329" spans="1:16" ht="20.25">
      <c r="A329" s="404"/>
      <c r="B329" s="124"/>
      <c r="C329" s="480" t="s">
        <v>14</v>
      </c>
      <c r="D329" s="125" t="s">
        <v>34</v>
      </c>
      <c r="E329" s="126"/>
      <c r="F329" s="126"/>
      <c r="G329" s="127"/>
      <c r="H329" s="128"/>
      <c r="I329" s="121"/>
      <c r="J329" s="42"/>
      <c r="K329" s="43"/>
      <c r="L329" s="43"/>
      <c r="M329" s="43"/>
      <c r="N329" s="43"/>
      <c r="O329" s="122"/>
      <c r="P329" s="405"/>
    </row>
    <row r="330" spans="1:16" ht="20.25">
      <c r="A330" s="404"/>
      <c r="B330" s="124"/>
      <c r="C330" s="124"/>
      <c r="D330" s="129" t="s">
        <v>120</v>
      </c>
      <c r="E330" s="130"/>
      <c r="F330" s="130"/>
      <c r="G330" s="128"/>
      <c r="H330" s="41" t="s">
        <v>119</v>
      </c>
      <c r="I330" s="145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+IMPORTRANGE(""https://docs.google.com/spreadsheets/d/1uenpWDAH2bchvfvsSIjpd4bRU5D1faxJOaE"&amp;"34GQM5-c/edit?usp=sharing"",""รวมใต้!I330"")"),10)</f>
        <v>10</v>
      </c>
      <c r="J330" s="145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+IMPORTRANGE(""https://docs.google.com/spreadsheets/d/1uenpWDAH2bchvfvsSIjpd4bRU5D1faxJOaE"&amp;"34GQM5-c/edit?usp=sharing"",""รวมใต้!J330"")"),1)</f>
        <v>1</v>
      </c>
      <c r="K330" s="44">
        <f ca="1">IF(I330&gt;0,J330*100/I330,0)</f>
        <v>10</v>
      </c>
      <c r="L330" s="43"/>
      <c r="M330" s="43"/>
      <c r="N330" s="43"/>
      <c r="O330" s="122"/>
      <c r="P330" s="405"/>
    </row>
    <row r="331" spans="1:16" ht="20.25">
      <c r="A331" s="452" t="s">
        <v>121</v>
      </c>
      <c r="B331" s="274"/>
      <c r="C331" s="274"/>
      <c r="D331" s="275"/>
      <c r="E331" s="274"/>
      <c r="F331" s="274"/>
      <c r="G331" s="274"/>
      <c r="H331" s="275"/>
      <c r="I331" s="277"/>
      <c r="J331" s="277"/>
      <c r="K331" s="278"/>
      <c r="L331" s="278"/>
      <c r="M331" s="278"/>
      <c r="N331" s="278"/>
      <c r="O331" s="278"/>
      <c r="P331" s="453"/>
    </row>
    <row r="332" spans="1:16" ht="20.25">
      <c r="A332" s="454"/>
      <c r="B332" s="279" t="s">
        <v>122</v>
      </c>
      <c r="C332" s="287"/>
      <c r="D332" s="280"/>
      <c r="E332" s="280"/>
      <c r="F332" s="280"/>
      <c r="G332" s="281"/>
      <c r="H332" s="282" t="s">
        <v>31</v>
      </c>
      <c r="I332" s="288">
        <f ca="1">I344</f>
        <v>120000</v>
      </c>
      <c r="J332" s="289">
        <f ca="1">J344+J347+J348+J349+J353</f>
        <v>164305</v>
      </c>
      <c r="K332" s="290">
        <f ca="1">IF(I332&gt;0,J332*100/I332,0)</f>
        <v>136.92083333333332</v>
      </c>
      <c r="L332" s="285"/>
      <c r="M332" s="285"/>
      <c r="N332" s="285"/>
      <c r="O332" s="285"/>
      <c r="P332" s="455"/>
    </row>
    <row r="333" spans="1:16" ht="20.25">
      <c r="A333" s="402"/>
      <c r="B333" s="38"/>
      <c r="C333" s="480" t="s">
        <v>14</v>
      </c>
      <c r="D333" s="116" t="s">
        <v>15</v>
      </c>
      <c r="E333" s="38"/>
      <c r="F333" s="38"/>
      <c r="G333" s="40"/>
      <c r="H333" s="117" t="s">
        <v>12</v>
      </c>
      <c r="I333" s="42"/>
      <c r="J333" s="42"/>
      <c r="K333" s="43"/>
      <c r="L333" s="118">
        <f t="shared" ref="L333:N333" ca="1" si="144">L334+L335</f>
        <v>11006800</v>
      </c>
      <c r="M333" s="118">
        <f t="shared" ca="1" si="144"/>
        <v>9065400</v>
      </c>
      <c r="N333" s="118">
        <f t="shared" ca="1" si="144"/>
        <v>2549648.36</v>
      </c>
      <c r="O333" s="118">
        <f t="shared" ref="O333:O341" ca="1" si="145">IF(L333&gt;0,N333*100/L333,0)</f>
        <v>23.164301704400916</v>
      </c>
      <c r="P333" s="403">
        <f t="shared" ref="P333:P341" ca="1" si="146">IF(M333&gt;0,N333*100/M333,0)</f>
        <v>28.125050852692656</v>
      </c>
    </row>
    <row r="334" spans="1:16" ht="20.25">
      <c r="A334" s="402"/>
      <c r="B334" s="38"/>
      <c r="C334" s="38"/>
      <c r="D334" s="38"/>
      <c r="E334" s="38" t="s">
        <v>16</v>
      </c>
      <c r="F334" s="38"/>
      <c r="G334" s="40"/>
      <c r="H334" s="119" t="s">
        <v>12</v>
      </c>
      <c r="I334" s="42"/>
      <c r="J334" s="42"/>
      <c r="K334" s="43"/>
      <c r="L334" s="44">
        <f t="shared" ref="L334:N334" ca="1" si="147">L337+L340</f>
        <v>937400</v>
      </c>
      <c r="M334" s="44">
        <f t="shared" ca="1" si="147"/>
        <v>1272900</v>
      </c>
      <c r="N334" s="44">
        <f t="shared" ca="1" si="147"/>
        <v>44273.13</v>
      </c>
      <c r="O334" s="44">
        <f t="shared" ca="1" si="145"/>
        <v>4.7229709835715807</v>
      </c>
      <c r="P334" s="369">
        <f t="shared" ca="1" si="146"/>
        <v>3.478131039358944</v>
      </c>
    </row>
    <row r="335" spans="1:16" ht="20.25">
      <c r="A335" s="402"/>
      <c r="B335" s="38"/>
      <c r="C335" s="38"/>
      <c r="D335" s="38"/>
      <c r="E335" s="38" t="s">
        <v>17</v>
      </c>
      <c r="F335" s="38"/>
      <c r="G335" s="40"/>
      <c r="H335" s="119" t="s">
        <v>12</v>
      </c>
      <c r="I335" s="42"/>
      <c r="J335" s="42"/>
      <c r="K335" s="43"/>
      <c r="L335" s="44">
        <f t="shared" ref="L335:N335" ca="1" si="148">L338+L341</f>
        <v>10069400</v>
      </c>
      <c r="M335" s="44">
        <f t="shared" ca="1" si="148"/>
        <v>7792500</v>
      </c>
      <c r="N335" s="44">
        <f t="shared" ca="1" si="148"/>
        <v>2505375.23</v>
      </c>
      <c r="O335" s="44">
        <f t="shared" ca="1" si="145"/>
        <v>24.881077621308123</v>
      </c>
      <c r="P335" s="369">
        <f t="shared" ca="1" si="146"/>
        <v>32.151109785049726</v>
      </c>
    </row>
    <row r="336" spans="1:16" ht="20.25">
      <c r="A336" s="402"/>
      <c r="B336" s="38"/>
      <c r="C336" s="38"/>
      <c r="D336" s="39" t="s">
        <v>18</v>
      </c>
      <c r="E336" s="38"/>
      <c r="F336" s="38"/>
      <c r="G336" s="40"/>
      <c r="H336" s="120" t="s">
        <v>12</v>
      </c>
      <c r="I336" s="121"/>
      <c r="J336" s="121"/>
      <c r="K336" s="122"/>
      <c r="L336" s="44">
        <f t="shared" ref="L336:N336" ca="1" si="149">L337+L338</f>
        <v>11006800</v>
      </c>
      <c r="M336" s="44">
        <f t="shared" ca="1" si="149"/>
        <v>9065400</v>
      </c>
      <c r="N336" s="44">
        <f t="shared" ca="1" si="149"/>
        <v>2549648.36</v>
      </c>
      <c r="O336" s="44">
        <f t="shared" ca="1" si="145"/>
        <v>23.164301704400916</v>
      </c>
      <c r="P336" s="369">
        <f t="shared" ca="1" si="146"/>
        <v>28.125050852692656</v>
      </c>
    </row>
    <row r="337" spans="1:16" ht="20.25">
      <c r="A337" s="402"/>
      <c r="B337" s="38"/>
      <c r="C337" s="38"/>
      <c r="D337" s="38"/>
      <c r="E337" s="38" t="s">
        <v>32</v>
      </c>
      <c r="F337" s="38"/>
      <c r="G337" s="40"/>
      <c r="H337" s="120" t="s">
        <v>12</v>
      </c>
      <c r="I337" s="121"/>
      <c r="J337" s="121"/>
      <c r="K337" s="122"/>
      <c r="L337" s="44">
        <f ca="1">IFERROR(__xludf.DUMMYFUNCTION("IMPORTRANGE(""https://docs.google.com/spreadsheets/d/1-uDff_7J0KD5mKrp0Vvzr7lt3OU09vwQwhkpOPPYv2Y/edit?usp=sharing"",""งบพรบ!ES9"")"),937400)</f>
        <v>937400</v>
      </c>
      <c r="M337" s="44">
        <f ca="1">IFERROR(__xludf.DUMMYFUNCTION("IMPORTRANGE(""https://docs.google.com/spreadsheets/d/1-uDff_7J0KD5mKrp0Vvzr7lt3OU09vwQwhkpOPPYv2Y/edit?usp=sharing"",""งบพรบ!EX9"")"),1272900)</f>
        <v>1272900</v>
      </c>
      <c r="N337" s="44">
        <f ca="1">IFERROR(__xludf.DUMMYFUNCTION("IMPORTRANGE(""https://docs.google.com/spreadsheets/d/1-uDff_7J0KD5mKrp0Vvzr7lt3OU09vwQwhkpOPPYv2Y/edit?usp=sharing"",""งบพรบ!EZ9"")"),44273.13)</f>
        <v>44273.13</v>
      </c>
      <c r="O337" s="44">
        <f t="shared" ca="1" si="145"/>
        <v>4.7229709835715807</v>
      </c>
      <c r="P337" s="369">
        <f t="shared" ca="1" si="146"/>
        <v>3.478131039358944</v>
      </c>
    </row>
    <row r="338" spans="1:16" ht="20.25">
      <c r="A338" s="402"/>
      <c r="B338" s="38"/>
      <c r="C338" s="38"/>
      <c r="D338" s="38"/>
      <c r="E338" s="38" t="s">
        <v>33</v>
      </c>
      <c r="F338" s="38"/>
      <c r="G338" s="40"/>
      <c r="H338" s="120" t="s">
        <v>12</v>
      </c>
      <c r="I338" s="121"/>
      <c r="J338" s="121"/>
      <c r="K338" s="122"/>
      <c r="L338" s="44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+IMPORTRANGE(""https://docs.google.com/spreadsheets/d/1uenpWDAH2bchvfvsSIjpd4bRU5D1faxJOaE"&amp;"34GQM5-c/edit?usp=sharing"",""รวมใต้!L338"")"),10069400)</f>
        <v>10069400</v>
      </c>
      <c r="M338" s="44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+IMPORTRANGE(""https://docs.google.com/spreadsheets/d/1uenpWDAH2bchvfvsSIjpd4bRU5D1faxJOaE"&amp;"34GQM5-c/edit?usp=sharing"",""รวมใต้!M338"")"),7792500)</f>
        <v>7792500</v>
      </c>
      <c r="N338" s="44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+IMPORTRANGE(""https://docs.google.com/spreadsheets/d/1uenpWDAH2bchvfvsSIjpd4bRU5D1faxJOaE"&amp;"34GQM5-c/edit?usp=sharing"",""รวมใต้!N338"")"),2505375.23)</f>
        <v>2505375.23</v>
      </c>
      <c r="O338" s="44">
        <f t="shared" ca="1" si="145"/>
        <v>24.881077621308123</v>
      </c>
      <c r="P338" s="369">
        <f t="shared" ca="1" si="146"/>
        <v>32.151109785049726</v>
      </c>
    </row>
    <row r="339" spans="1:16" ht="20.25">
      <c r="A339" s="402"/>
      <c r="B339" s="38"/>
      <c r="C339" s="38"/>
      <c r="D339" s="39" t="s">
        <v>19</v>
      </c>
      <c r="E339" s="38"/>
      <c r="F339" s="38"/>
      <c r="G339" s="40"/>
      <c r="H339" s="123" t="s">
        <v>12</v>
      </c>
      <c r="I339" s="121"/>
      <c r="J339" s="121"/>
      <c r="K339" s="122"/>
      <c r="L339" s="44">
        <f t="shared" ref="L339:N339" ca="1" si="150">L340+L341</f>
        <v>0</v>
      </c>
      <c r="M339" s="44">
        <f t="shared" ca="1" si="150"/>
        <v>0</v>
      </c>
      <c r="N339" s="44">
        <f t="shared" ca="1" si="150"/>
        <v>0</v>
      </c>
      <c r="O339" s="44">
        <f t="shared" ca="1" si="145"/>
        <v>0</v>
      </c>
      <c r="P339" s="369">
        <f t="shared" ca="1" si="146"/>
        <v>0</v>
      </c>
    </row>
    <row r="340" spans="1:16" ht="20.25">
      <c r="A340" s="402"/>
      <c r="B340" s="38"/>
      <c r="C340" s="38"/>
      <c r="D340" s="38"/>
      <c r="E340" s="38" t="s">
        <v>16</v>
      </c>
      <c r="F340" s="38"/>
      <c r="G340" s="40"/>
      <c r="H340" s="120" t="s">
        <v>12</v>
      </c>
      <c r="I340" s="121"/>
      <c r="J340" s="121"/>
      <c r="K340" s="122"/>
      <c r="L340" s="44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+IMPORTRANGE(""https://docs.google.com/spreadsheets/d/1uenpWDAH2bchvfvsSIjpd4bRU5D1faxJOaE"&amp;"34GQM5-c/edit?usp=sharing"",""รวมใต้!L340"")"),0)</f>
        <v>0</v>
      </c>
      <c r="M340" s="44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+IMPORTRANGE(""https://docs.google.com/spreadsheets/d/1uenpWDAH2bchvfvsSIjpd4bRU5D1faxJOaE"&amp;"34GQM5-c/edit?usp=sharing"",""รวมใต้!M340"")"),0)</f>
        <v>0</v>
      </c>
      <c r="N340" s="44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+IMPORTRANGE(""https://docs.google.com/spreadsheets/d/1uenpWDAH2bchvfvsSIjpd4bRU5D1faxJOaE"&amp;"34GQM5-c/edit?usp=sharing"",""รวมใต้!N340"")"),0)</f>
        <v>0</v>
      </c>
      <c r="O340" s="44">
        <f t="shared" ca="1" si="145"/>
        <v>0</v>
      </c>
      <c r="P340" s="369">
        <f t="shared" ca="1" si="146"/>
        <v>0</v>
      </c>
    </row>
    <row r="341" spans="1:16" ht="20.25">
      <c r="A341" s="402"/>
      <c r="B341" s="38"/>
      <c r="C341" s="38"/>
      <c r="D341" s="38"/>
      <c r="E341" s="38" t="s">
        <v>17</v>
      </c>
      <c r="F341" s="38"/>
      <c r="G341" s="40"/>
      <c r="H341" s="123" t="s">
        <v>12</v>
      </c>
      <c r="I341" s="121"/>
      <c r="J341" s="121"/>
      <c r="K341" s="122"/>
      <c r="L341" s="44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+IMPORTRANGE(""https://docs.google.com/spreadsheets/d/1uenpWDAH2bchvfvsSIjpd4bRU5D1faxJOaE"&amp;"34GQM5-c/edit?usp=sharing"",""รวมใต้!L341"")"),0)</f>
        <v>0</v>
      </c>
      <c r="M341" s="44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+IMPORTRANGE(""https://docs.google.com/spreadsheets/d/1uenpWDAH2bchvfvsSIjpd4bRU5D1faxJOaE"&amp;"34GQM5-c/edit?usp=sharing"",""รวมใต้!M341"")"),0)</f>
        <v>0</v>
      </c>
      <c r="N341" s="44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+IMPORTRANGE(""https://docs.google.com/spreadsheets/d/1uenpWDAH2bchvfvsSIjpd4bRU5D1faxJOaE"&amp;"34GQM5-c/edit?usp=sharing"",""รวมใต้!N341"")"),0)</f>
        <v>0</v>
      </c>
      <c r="O341" s="44">
        <f t="shared" ca="1" si="145"/>
        <v>0</v>
      </c>
      <c r="P341" s="369">
        <f t="shared" ca="1" si="146"/>
        <v>0</v>
      </c>
    </row>
    <row r="342" spans="1:16" ht="20.25">
      <c r="A342" s="404"/>
      <c r="B342" s="124"/>
      <c r="C342" s="480" t="s">
        <v>14</v>
      </c>
      <c r="D342" s="194" t="s">
        <v>34</v>
      </c>
      <c r="E342" s="126"/>
      <c r="F342" s="126"/>
      <c r="G342" s="126"/>
      <c r="H342" s="291"/>
      <c r="I342" s="292"/>
      <c r="J342" s="292"/>
      <c r="K342" s="293"/>
      <c r="L342" s="43"/>
      <c r="M342" s="43"/>
      <c r="N342" s="43"/>
      <c r="O342" s="122"/>
      <c r="P342" s="405"/>
    </row>
    <row r="343" spans="1:16" ht="20.25">
      <c r="A343" s="457"/>
      <c r="B343" s="294"/>
      <c r="C343" s="295"/>
      <c r="D343" s="294"/>
      <c r="E343" s="296" t="s">
        <v>123</v>
      </c>
      <c r="F343" s="294"/>
      <c r="G343" s="297"/>
      <c r="H343" s="298" t="s">
        <v>31</v>
      </c>
      <c r="I343" s="299">
        <v>0</v>
      </c>
      <c r="J343" s="299">
        <f ca="1">J344+J347+J348+J349</f>
        <v>72892</v>
      </c>
      <c r="K343" s="300">
        <v>0</v>
      </c>
      <c r="L343" s="301"/>
      <c r="M343" s="301"/>
      <c r="N343" s="301"/>
      <c r="O343" s="301"/>
      <c r="P343" s="458"/>
    </row>
    <row r="344" spans="1:16" ht="20.25">
      <c r="A344" s="459"/>
      <c r="B344" s="215"/>
      <c r="C344" s="302"/>
      <c r="D344" s="303"/>
      <c r="E344" s="303" t="s">
        <v>124</v>
      </c>
      <c r="F344" s="215"/>
      <c r="G344" s="304"/>
      <c r="H344" s="305" t="s">
        <v>31</v>
      </c>
      <c r="I344" s="306">
        <f ca="1">IFERROR(__xludf.DUMMYFUNCTION("IMPORTRANGE(""https://docs.google.com/spreadsheets/d/12pGRKgvn2b31Uz_fjAl3XPzZUM_F2_O-zAHL2XHEPZg/edit?usp=sharing"",""รวมเหนือ!I344"")+IMPORTRANGE(""https://docs.google.com/spreadsheets/d/1c0UfJUA6nE6esVMy0kRcX_PENtt96DMxicQpqi3tips/edit?usp=sharing"","""&amp;"รวมตะวันออกเฉียงเหนือ!I344"")+IMPORTRANGE(""https://docs.google.com/spreadsheets/d/1iNWbYmj0agxPDl_yJgGu1eIremFPVMUuMWUKAjBzvrk/edit?usp=sharing"",""รวมกลาง!I344"")++IMPORTRANGE(""https://docs.google.com/spreadsheets/d/1uenpWDAH2bchvfvsSIjpd4bRU5D1faxJOaE"&amp;"34GQM5-c/edit?usp=sharing"",""รวมใต้!I344"")"),120000)</f>
        <v>120000</v>
      </c>
      <c r="J344" s="306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+IMPORTRANGE(""https://docs.google.com/spreadsheets/d/1uenpWDAH2bchvfvsSIjpd4bRU5D1faxJOaE"&amp;"34GQM5-c/edit?usp=sharing"",""รวมใต้!J344"")"),68297)</f>
        <v>68297</v>
      </c>
      <c r="K344" s="307">
        <f ca="1">IF(I344&gt;0,J344*100/I344,0)</f>
        <v>56.914166666666667</v>
      </c>
      <c r="L344" s="43"/>
      <c r="M344" s="43"/>
      <c r="N344" s="43"/>
      <c r="O344" s="43"/>
      <c r="P344" s="412"/>
    </row>
    <row r="345" spans="1:16" ht="20.25">
      <c r="A345" s="459"/>
      <c r="B345" s="215"/>
      <c r="C345" s="302"/>
      <c r="D345" s="303"/>
      <c r="E345" s="303" t="s">
        <v>125</v>
      </c>
      <c r="F345" s="215"/>
      <c r="G345" s="304"/>
      <c r="H345" s="308"/>
      <c r="I345" s="309"/>
      <c r="J345" s="309"/>
      <c r="K345" s="310"/>
      <c r="L345" s="43"/>
      <c r="M345" s="43"/>
      <c r="N345" s="43"/>
      <c r="O345" s="43"/>
      <c r="P345" s="412"/>
    </row>
    <row r="346" spans="1:16" ht="20.25">
      <c r="A346" s="459"/>
      <c r="B346" s="215"/>
      <c r="C346" s="302"/>
      <c r="D346" s="303"/>
      <c r="E346" s="303"/>
      <c r="F346" s="303" t="s">
        <v>126</v>
      </c>
      <c r="G346" s="304"/>
      <c r="H346" s="311" t="s">
        <v>127</v>
      </c>
      <c r="I346" s="306">
        <f ca="1">IFERROR(__xludf.DUMMYFUNCTION("IMPORTRANGE(""https://docs.google.com/spreadsheets/d/12pGRKgvn2b31Uz_fjAl3XPzZUM_F2_O-zAHL2XHEPZg/edit?usp=sharing"",""รวมเหนือ!I346"")+IMPORTRANGE(""https://docs.google.com/spreadsheets/d/1c0UfJUA6nE6esVMy0kRcX_PENtt96DMxicQpqi3tips/edit?usp=sharing"","""&amp;"รวมตะวันออกเฉียงเหนือ!I346"")+IMPORTRANGE(""https://docs.google.com/spreadsheets/d/1iNWbYmj0agxPDl_yJgGu1eIremFPVMUuMWUKAjBzvrk/edit?usp=sharing"",""รวมกลาง!I346"")++IMPORTRANGE(""https://docs.google.com/spreadsheets/d/1uenpWDAH2bchvfvsSIjpd4bRU5D1faxJOaE"&amp;"34GQM5-c/edit?usp=sharing"",""รวมใต้!I346"")"),264)</f>
        <v>264</v>
      </c>
      <c r="J346" s="306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+IMPORTRANGE(""https://docs.google.com/spreadsheets/d/1uenpWDAH2bchvfvsSIjpd4bRU5D1faxJOaE"&amp;"34GQM5-c/edit?usp=sharing"",""รวมใต้!J346"")"),138)</f>
        <v>138</v>
      </c>
      <c r="K346" s="307">
        <f ca="1">IF(I346&gt;0,J346*100/I346,0)</f>
        <v>52.272727272727273</v>
      </c>
      <c r="L346" s="43"/>
      <c r="M346" s="43"/>
      <c r="N346" s="43"/>
      <c r="O346" s="43"/>
      <c r="P346" s="412"/>
    </row>
    <row r="347" spans="1:16" ht="20.25">
      <c r="A347" s="459"/>
      <c r="B347" s="215"/>
      <c r="C347" s="302"/>
      <c r="D347" s="303"/>
      <c r="E347" s="303"/>
      <c r="F347" s="303" t="s">
        <v>128</v>
      </c>
      <c r="G347" s="304"/>
      <c r="H347" s="311" t="s">
        <v>31</v>
      </c>
      <c r="I347" s="309"/>
      <c r="J347" s="306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+IMPORTRANGE(""https://docs.google.com/spreadsheets/d/1uenpWDAH2bchvfvsSIjpd4bRU5D1faxJOaE"&amp;"34GQM5-c/edit?usp=sharing"",""รวมใต้!J347"")"),2186)</f>
        <v>2186</v>
      </c>
      <c r="K347" s="310"/>
      <c r="L347" s="43"/>
      <c r="M347" s="43"/>
      <c r="N347" s="43"/>
      <c r="O347" s="43"/>
      <c r="P347" s="412"/>
    </row>
    <row r="348" spans="1:16" ht="20.25">
      <c r="A348" s="459"/>
      <c r="B348" s="215"/>
      <c r="C348" s="302"/>
      <c r="D348" s="303"/>
      <c r="E348" s="303" t="s">
        <v>129</v>
      </c>
      <c r="F348" s="303"/>
      <c r="G348" s="304"/>
      <c r="H348" s="311" t="s">
        <v>31</v>
      </c>
      <c r="I348" s="309"/>
      <c r="J348" s="306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+IMPORTRANGE(""https://docs.google.com/spreadsheets/d/1uenpWDAH2bchvfvsSIjpd4bRU5D1faxJOaE"&amp;"34GQM5-c/edit?usp=sharing"",""รวมใต้!J348"")"),2047)</f>
        <v>2047</v>
      </c>
      <c r="K348" s="310"/>
      <c r="L348" s="43"/>
      <c r="M348" s="43"/>
      <c r="N348" s="43"/>
      <c r="O348" s="43"/>
      <c r="P348" s="412"/>
    </row>
    <row r="349" spans="1:16" ht="20.25">
      <c r="A349" s="459"/>
      <c r="B349" s="215"/>
      <c r="C349" s="302"/>
      <c r="D349" s="312"/>
      <c r="E349" s="303" t="s">
        <v>130</v>
      </c>
      <c r="F349" s="303"/>
      <c r="G349" s="304"/>
      <c r="H349" s="311" t="s">
        <v>31</v>
      </c>
      <c r="I349" s="309"/>
      <c r="J349" s="306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+IMPORTRANGE(""https://docs.google.com/spreadsheets/d/1uenpWDAH2bchvfvsSIjpd4bRU5D1faxJOaE"&amp;"34GQM5-c/edit?usp=sharing"",""รวมใต้!J349"")"),362)</f>
        <v>362</v>
      </c>
      <c r="K349" s="310"/>
      <c r="L349" s="43"/>
      <c r="M349" s="43"/>
      <c r="N349" s="43"/>
      <c r="O349" s="43"/>
      <c r="P349" s="412"/>
    </row>
    <row r="350" spans="1:16" ht="20.25">
      <c r="A350" s="459"/>
      <c r="B350" s="215"/>
      <c r="C350" s="302"/>
      <c r="D350" s="313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3 ม.ค. 67 เวลา 15.59 น.]")</f>
        <v xml:space="preserve"> [ข้อมูลจาก ระบบศูนย์บริการประชาชน ข้อมูล ณ 3 ม.ค. 67 เวลา 15.59 น.]</v>
      </c>
      <c r="E350" s="215"/>
      <c r="F350" s="215"/>
      <c r="G350" s="304"/>
      <c r="H350" s="308"/>
      <c r="I350" s="309"/>
      <c r="J350" s="309"/>
      <c r="K350" s="310"/>
      <c r="L350" s="43"/>
      <c r="M350" s="43"/>
      <c r="N350" s="43"/>
      <c r="O350" s="43"/>
      <c r="P350" s="412"/>
    </row>
    <row r="351" spans="1:16" ht="20.25">
      <c r="A351" s="460"/>
      <c r="B351" s="314"/>
      <c r="C351" s="315"/>
      <c r="D351" s="314"/>
      <c r="E351" s="316" t="s">
        <v>131</v>
      </c>
      <c r="F351" s="314"/>
      <c r="G351" s="317"/>
      <c r="H351" s="318" t="s">
        <v>31</v>
      </c>
      <c r="I351" s="319">
        <v>0</v>
      </c>
      <c r="J351" s="319">
        <f ca="1">J352+J353</f>
        <v>144819</v>
      </c>
      <c r="K351" s="320">
        <v>0</v>
      </c>
      <c r="L351" s="209"/>
      <c r="M351" s="209"/>
      <c r="N351" s="209"/>
      <c r="O351" s="209"/>
      <c r="P351" s="429"/>
    </row>
    <row r="352" spans="1:16" ht="20.25">
      <c r="A352" s="459"/>
      <c r="B352" s="215"/>
      <c r="C352" s="302"/>
      <c r="D352" s="303"/>
      <c r="E352" s="303" t="s">
        <v>132</v>
      </c>
      <c r="F352" s="215"/>
      <c r="G352" s="304"/>
      <c r="H352" s="321" t="s">
        <v>31</v>
      </c>
      <c r="I352" s="309"/>
      <c r="J352" s="306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+IMPORTRANGE(""https://docs.google.com/spreadsheets/d/1uenpWDAH2bchvfvsSIjpd4bRU5D1faxJOaE"&amp;"34GQM5-c/edit?usp=sharing"",""รวมใต้!J352"")"),53406)</f>
        <v>53406</v>
      </c>
      <c r="K352" s="310"/>
      <c r="L352" s="43"/>
      <c r="M352" s="43"/>
      <c r="N352" s="43"/>
      <c r="O352" s="43"/>
      <c r="P352" s="412"/>
    </row>
    <row r="353" spans="1:16" ht="20.25">
      <c r="A353" s="459"/>
      <c r="B353" s="215"/>
      <c r="C353" s="302"/>
      <c r="D353" s="303"/>
      <c r="E353" s="303" t="s">
        <v>133</v>
      </c>
      <c r="F353" s="215"/>
      <c r="G353" s="304"/>
      <c r="H353" s="321" t="s">
        <v>31</v>
      </c>
      <c r="I353" s="309"/>
      <c r="J353" s="306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+IMPORTRANGE(""https://docs.google.com/spreadsheets/d/1uenpWDAH2bchvfvsSIjpd4bRU5D1faxJOaE"&amp;"34GQM5-c/edit?usp=sharing"",""รวมใต้!J353"")"),91413)</f>
        <v>91413</v>
      </c>
      <c r="K353" s="310"/>
      <c r="L353" s="43"/>
      <c r="M353" s="43"/>
      <c r="N353" s="43"/>
      <c r="O353" s="43"/>
      <c r="P353" s="412"/>
    </row>
    <row r="354" spans="1:16" ht="20.25">
      <c r="A354" s="459"/>
      <c r="B354" s="215"/>
      <c r="C354" s="302"/>
      <c r="D354" s="313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3 ม.ค. 67 เวลา 15.59 น.]")</f>
        <v xml:space="preserve"> [ข้อมูลจาก ระบบศูนย์บริการประชาชน ข้อมูล ณ 3 ม.ค. 67 เวลา 15.59 น.]</v>
      </c>
      <c r="E354" s="215"/>
      <c r="F354" s="215"/>
      <c r="G354" s="304"/>
      <c r="H354" s="308"/>
      <c r="I354" s="309"/>
      <c r="J354" s="309"/>
      <c r="K354" s="310"/>
      <c r="L354" s="43"/>
      <c r="M354" s="43"/>
      <c r="N354" s="43"/>
      <c r="O354" s="43"/>
      <c r="P354" s="412"/>
    </row>
    <row r="355" spans="1:16" ht="20.25">
      <c r="A355" s="454"/>
      <c r="B355" s="279" t="s">
        <v>134</v>
      </c>
      <c r="C355" s="287"/>
      <c r="D355" s="280"/>
      <c r="E355" s="280"/>
      <c r="F355" s="280"/>
      <c r="G355" s="281"/>
      <c r="H355" s="281"/>
      <c r="I355" s="322"/>
      <c r="J355" s="322"/>
      <c r="K355" s="285"/>
      <c r="L355" s="285"/>
      <c r="M355" s="285"/>
      <c r="N355" s="285"/>
      <c r="O355" s="285"/>
      <c r="P355" s="455"/>
    </row>
    <row r="356" spans="1:16" ht="20.25">
      <c r="A356" s="402"/>
      <c r="B356" s="38"/>
      <c r="C356" s="480" t="s">
        <v>14</v>
      </c>
      <c r="D356" s="116" t="s">
        <v>15</v>
      </c>
      <c r="E356" s="38"/>
      <c r="F356" s="38"/>
      <c r="G356" s="40"/>
      <c r="H356" s="117" t="s">
        <v>12</v>
      </c>
      <c r="I356" s="42"/>
      <c r="J356" s="42"/>
      <c r="K356" s="43"/>
      <c r="L356" s="118">
        <f t="shared" ref="L356:N356" ca="1" si="151">L357+L358</f>
        <v>64611100</v>
      </c>
      <c r="M356" s="118">
        <f t="shared" ca="1" si="151"/>
        <v>51530000</v>
      </c>
      <c r="N356" s="118">
        <f t="shared" ca="1" si="151"/>
        <v>15141433.709999999</v>
      </c>
      <c r="O356" s="118">
        <f t="shared" ref="O356:O364" ca="1" si="152">IF(L356&gt;0,N356*100/L356,0)</f>
        <v>23.434725163323328</v>
      </c>
      <c r="P356" s="403">
        <f t="shared" ref="P356:P364" ca="1" si="153">IF(M356&gt;0,N356*100/M356,0)</f>
        <v>29.383725422084222</v>
      </c>
    </row>
    <row r="357" spans="1:16" ht="20.25">
      <c r="A357" s="402"/>
      <c r="B357" s="38"/>
      <c r="C357" s="38"/>
      <c r="D357" s="38"/>
      <c r="E357" s="38" t="s">
        <v>16</v>
      </c>
      <c r="F357" s="38"/>
      <c r="G357" s="40"/>
      <c r="H357" s="119" t="s">
        <v>12</v>
      </c>
      <c r="I357" s="42"/>
      <c r="J357" s="42"/>
      <c r="K357" s="43"/>
      <c r="L357" s="44">
        <f t="shared" ref="L357:N357" ca="1" si="154">L360+L363</f>
        <v>25043055</v>
      </c>
      <c r="M357" s="44">
        <f t="shared" ca="1" si="154"/>
        <v>18237235</v>
      </c>
      <c r="N357" s="44">
        <f t="shared" ca="1" si="154"/>
        <v>5304211.93</v>
      </c>
      <c r="O357" s="44">
        <f t="shared" ca="1" si="152"/>
        <v>21.180370885261404</v>
      </c>
      <c r="P357" s="369">
        <f t="shared" ca="1" si="153"/>
        <v>29.084518184911254</v>
      </c>
    </row>
    <row r="358" spans="1:16" ht="20.25">
      <c r="A358" s="402"/>
      <c r="B358" s="38"/>
      <c r="C358" s="38"/>
      <c r="D358" s="38"/>
      <c r="E358" s="38" t="s">
        <v>17</v>
      </c>
      <c r="F358" s="38"/>
      <c r="G358" s="40"/>
      <c r="H358" s="119" t="s">
        <v>12</v>
      </c>
      <c r="I358" s="42"/>
      <c r="J358" s="42"/>
      <c r="K358" s="43"/>
      <c r="L358" s="44">
        <f t="shared" ref="L358:N358" ca="1" si="155">L361+L364</f>
        <v>39568045</v>
      </c>
      <c r="M358" s="44">
        <f t="shared" ca="1" si="155"/>
        <v>33292765</v>
      </c>
      <c r="N358" s="44">
        <f t="shared" ca="1" si="155"/>
        <v>9837221.7799999993</v>
      </c>
      <c r="O358" s="44">
        <f t="shared" ca="1" si="152"/>
        <v>24.86153101574768</v>
      </c>
      <c r="P358" s="369">
        <f t="shared" ca="1" si="153"/>
        <v>29.547626278562319</v>
      </c>
    </row>
    <row r="359" spans="1:16" ht="20.25">
      <c r="A359" s="402"/>
      <c r="B359" s="38"/>
      <c r="C359" s="38"/>
      <c r="D359" s="39" t="s">
        <v>18</v>
      </c>
      <c r="E359" s="38"/>
      <c r="F359" s="38"/>
      <c r="G359" s="40"/>
      <c r="H359" s="120" t="s">
        <v>12</v>
      </c>
      <c r="I359" s="121"/>
      <c r="J359" s="121"/>
      <c r="K359" s="122"/>
      <c r="L359" s="44">
        <f t="shared" ref="L359:N359" ca="1" si="156">L360+L361</f>
        <v>64611100</v>
      </c>
      <c r="M359" s="44">
        <f t="shared" ca="1" si="156"/>
        <v>51530000</v>
      </c>
      <c r="N359" s="44">
        <f t="shared" ca="1" si="156"/>
        <v>15141433.709999999</v>
      </c>
      <c r="O359" s="44">
        <f t="shared" ca="1" si="152"/>
        <v>23.434725163323328</v>
      </c>
      <c r="P359" s="369">
        <f t="shared" ca="1" si="153"/>
        <v>29.383725422084222</v>
      </c>
    </row>
    <row r="360" spans="1:16" ht="20.25">
      <c r="A360" s="402"/>
      <c r="B360" s="38"/>
      <c r="C360" s="38"/>
      <c r="D360" s="38"/>
      <c r="E360" s="38" t="s">
        <v>32</v>
      </c>
      <c r="F360" s="38"/>
      <c r="G360" s="40"/>
      <c r="H360" s="120" t="s">
        <v>12</v>
      </c>
      <c r="I360" s="121"/>
      <c r="J360" s="121"/>
      <c r="K360" s="122"/>
      <c r="L360" s="44">
        <f ca="1">IFERROR(__xludf.DUMMYFUNCTION("IMPORTRANGE(""https://docs.google.com/spreadsheets/d/1-uDff_7J0KD5mKrp0Vvzr7lt3OU09vwQwhkpOPPYv2Y/edit?usp=sharing"",""งบพรบ!FC9"")"),25043055)</f>
        <v>25043055</v>
      </c>
      <c r="M360" s="44">
        <f ca="1">IFERROR(__xludf.DUMMYFUNCTION("IMPORTRANGE(""https://docs.google.com/spreadsheets/d/1-uDff_7J0KD5mKrp0Vvzr7lt3OU09vwQwhkpOPPYv2Y/edit?usp=sharing"",""งบพรบ!FH9"")"),18237235)</f>
        <v>18237235</v>
      </c>
      <c r="N360" s="44">
        <f ca="1">IFERROR(__xludf.DUMMYFUNCTION("IMPORTRANGE(""https://docs.google.com/spreadsheets/d/1-uDff_7J0KD5mKrp0Vvzr7lt3OU09vwQwhkpOPPYv2Y/edit?usp=sharing"",""งบพรบ!FJ9"")"),5304211.93)</f>
        <v>5304211.93</v>
      </c>
      <c r="O360" s="44">
        <f t="shared" ca="1" si="152"/>
        <v>21.180370885261404</v>
      </c>
      <c r="P360" s="369">
        <f t="shared" ca="1" si="153"/>
        <v>29.084518184911254</v>
      </c>
    </row>
    <row r="361" spans="1:16" ht="20.25">
      <c r="A361" s="402"/>
      <c r="B361" s="38"/>
      <c r="C361" s="38"/>
      <c r="D361" s="38"/>
      <c r="E361" s="38" t="s">
        <v>33</v>
      </c>
      <c r="F361" s="38"/>
      <c r="G361" s="40"/>
      <c r="H361" s="120" t="s">
        <v>12</v>
      </c>
      <c r="I361" s="121"/>
      <c r="J361" s="121"/>
      <c r="K361" s="122"/>
      <c r="L361" s="44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+IMPORTRANGE(""https://docs.google.com/spreadsheets/d/1uenpWDAH2bchvfvsSIjpd4bRU5D1faxJOaE"&amp;"34GQM5-c/edit?usp=sharing"",""รวมใต้!L361"")"),39568045)</f>
        <v>39568045</v>
      </c>
      <c r="M361" s="44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+IMPORTRANGE(""https://docs.google.com/spreadsheets/d/1uenpWDAH2bchvfvsSIjpd4bRU5D1faxJOaE"&amp;"34GQM5-c/edit?usp=sharing"",""รวมใต้!M361"")"),33292765)</f>
        <v>33292765</v>
      </c>
      <c r="N361" s="44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+IMPORTRANGE(""https://docs.google.com/spreadsheets/d/1uenpWDAH2bchvfvsSIjpd4bRU5D1faxJOaE"&amp;"34GQM5-c/edit?usp=sharing"",""รวมใต้!N361"")"),9837221.78)</f>
        <v>9837221.7799999993</v>
      </c>
      <c r="O361" s="44">
        <f t="shared" ca="1" si="152"/>
        <v>24.86153101574768</v>
      </c>
      <c r="P361" s="369">
        <f t="shared" ca="1" si="153"/>
        <v>29.547626278562319</v>
      </c>
    </row>
    <row r="362" spans="1:16" ht="20.25">
      <c r="A362" s="402"/>
      <c r="B362" s="38"/>
      <c r="C362" s="38"/>
      <c r="D362" s="39" t="s">
        <v>19</v>
      </c>
      <c r="E362" s="38"/>
      <c r="F362" s="38"/>
      <c r="G362" s="40"/>
      <c r="H362" s="123" t="s">
        <v>12</v>
      </c>
      <c r="I362" s="121"/>
      <c r="J362" s="121"/>
      <c r="K362" s="122"/>
      <c r="L362" s="44">
        <f t="shared" ref="L362:N362" ca="1" si="157">L363+L364</f>
        <v>0</v>
      </c>
      <c r="M362" s="44">
        <f t="shared" ca="1" si="157"/>
        <v>0</v>
      </c>
      <c r="N362" s="44">
        <f t="shared" ca="1" si="157"/>
        <v>0</v>
      </c>
      <c r="O362" s="44">
        <f t="shared" ca="1" si="152"/>
        <v>0</v>
      </c>
      <c r="P362" s="369">
        <f t="shared" ca="1" si="153"/>
        <v>0</v>
      </c>
    </row>
    <row r="363" spans="1:16" ht="20.25">
      <c r="A363" s="402"/>
      <c r="B363" s="38"/>
      <c r="C363" s="38"/>
      <c r="D363" s="38"/>
      <c r="E363" s="38" t="s">
        <v>16</v>
      </c>
      <c r="F363" s="38"/>
      <c r="G363" s="40"/>
      <c r="H363" s="120" t="s">
        <v>12</v>
      </c>
      <c r="I363" s="121"/>
      <c r="J363" s="121"/>
      <c r="K363" s="122"/>
      <c r="L363" s="44">
        <f ca="1">IFERROR(__xludf.DUMMYFUNCTION("IMPORTRANGE(""https://docs.google.com/spreadsheets/d/12pGRKgvn2b31Uz_fjAl3XPzZUM_F2_O-zAHL2XHEPZg/edit?usp=sharing"",""รวมเหนือ!L363"")+IMPORTRANGE(""https://docs.google.com/spreadsheets/d/1c0UfJUA6nE6esVMy0kRcX_PENtt96DMxicQpqi3tips/edit?usp=sharing"","""&amp;"รวมตะวันออกเฉียงเหนือ!L363"")+IMPORTRANGE(""https://docs.google.com/spreadsheets/d/1iNWbYmj0agxPDl_yJgGu1eIremFPVMUuMWUKAjBzvrk/edit?usp=sharing"",""รวมกลาง!L363"")++IMPORTRANGE(""https://docs.google.com/spreadsheets/d/1uenpWDAH2bchvfvsSIjpd4bRU5D1faxJOaE"&amp;"34GQM5-c/edit?usp=sharing"",""รวมใต้!L363"")"),0)</f>
        <v>0</v>
      </c>
      <c r="M363" s="44">
        <f ca="1">IFERROR(__xludf.DUMMYFUNCTION("IMPORTRANGE(""https://docs.google.com/spreadsheets/d/12pGRKgvn2b31Uz_fjAl3XPzZUM_F2_O-zAHL2XHEPZg/edit?usp=sharing"",""รวมเหนือ!M363"")+IMPORTRANGE(""https://docs.google.com/spreadsheets/d/1c0UfJUA6nE6esVMy0kRcX_PENtt96DMxicQpqi3tips/edit?usp=sharing"","""&amp;"รวมตะวันออกเฉียงเหนือ!M363"")+IMPORTRANGE(""https://docs.google.com/spreadsheets/d/1iNWbYmj0agxPDl_yJgGu1eIremFPVMUuMWUKAjBzvrk/edit?usp=sharing"",""รวมกลาง!M363"")++IMPORTRANGE(""https://docs.google.com/spreadsheets/d/1uenpWDAH2bchvfvsSIjpd4bRU5D1faxJOaE"&amp;"34GQM5-c/edit?usp=sharing"",""รวมใต้!M363"")"),0)</f>
        <v>0</v>
      </c>
      <c r="N363" s="44">
        <f ca="1">IFERROR(__xludf.DUMMYFUNCTION("IMPORTRANGE(""https://docs.google.com/spreadsheets/d/12pGRKgvn2b31Uz_fjAl3XPzZUM_F2_O-zAHL2XHEPZg/edit?usp=sharing"",""รวมเหนือ!N363"")+IMPORTRANGE(""https://docs.google.com/spreadsheets/d/1c0UfJUA6nE6esVMy0kRcX_PENtt96DMxicQpqi3tips/edit?usp=sharing"","""&amp;"รวมตะวันออกเฉียงเหนือ!N363"")+IMPORTRANGE(""https://docs.google.com/spreadsheets/d/1iNWbYmj0agxPDl_yJgGu1eIremFPVMUuMWUKAjBzvrk/edit?usp=sharing"",""รวมกลาง!N363"")++IMPORTRANGE(""https://docs.google.com/spreadsheets/d/1uenpWDAH2bchvfvsSIjpd4bRU5D1faxJOaE"&amp;"34GQM5-c/edit?usp=sharing"",""รวมใต้!N363"")"),0)</f>
        <v>0</v>
      </c>
      <c r="O363" s="44">
        <f t="shared" ca="1" si="152"/>
        <v>0</v>
      </c>
      <c r="P363" s="369">
        <f t="shared" ca="1" si="153"/>
        <v>0</v>
      </c>
    </row>
    <row r="364" spans="1:16" ht="20.25">
      <c r="A364" s="402"/>
      <c r="B364" s="38"/>
      <c r="C364" s="38"/>
      <c r="D364" s="38"/>
      <c r="E364" s="38" t="s">
        <v>17</v>
      </c>
      <c r="F364" s="38"/>
      <c r="G364" s="40"/>
      <c r="H364" s="123" t="s">
        <v>12</v>
      </c>
      <c r="I364" s="121"/>
      <c r="J364" s="121"/>
      <c r="K364" s="122"/>
      <c r="L364" s="44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+IMPORTRANGE(""https://docs.google.com/spreadsheets/d/1uenpWDAH2bchvfvsSIjpd4bRU5D1faxJOaE"&amp;"34GQM5-c/edit?usp=sharing"",""รวมใต้!L364"")"),0)</f>
        <v>0</v>
      </c>
      <c r="M364" s="44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+IMPORTRANGE(""https://docs.google.com/spreadsheets/d/1uenpWDAH2bchvfvsSIjpd4bRU5D1faxJOaE"&amp;"34GQM5-c/edit?usp=sharing"",""รวมใต้!M364"")"),0)</f>
        <v>0</v>
      </c>
      <c r="N364" s="44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+IMPORTRANGE(""https://docs.google.com/spreadsheets/d/1uenpWDAH2bchvfvsSIjpd4bRU5D1faxJOaE"&amp;"34GQM5-c/edit?usp=sharing"",""รวมใต้!N364"")"),0)</f>
        <v>0</v>
      </c>
      <c r="O364" s="44">
        <f t="shared" ca="1" si="152"/>
        <v>0</v>
      </c>
      <c r="P364" s="369">
        <f t="shared" ca="1" si="153"/>
        <v>0</v>
      </c>
    </row>
    <row r="365" spans="1:16" ht="20.25">
      <c r="A365" s="428"/>
      <c r="B365" s="202"/>
      <c r="C365" s="204"/>
      <c r="D365" s="323" t="s">
        <v>135</v>
      </c>
      <c r="E365" s="204"/>
      <c r="F365" s="204"/>
      <c r="G365" s="205"/>
      <c r="H365" s="213" t="s">
        <v>31</v>
      </c>
      <c r="I365" s="324">
        <f t="shared" ref="I365:J365" ca="1" si="158">I371</f>
        <v>16000</v>
      </c>
      <c r="J365" s="324">
        <f t="shared" ca="1" si="158"/>
        <v>4166</v>
      </c>
      <c r="K365" s="325">
        <f ca="1">IF(I365&gt;0,J365*100/I365,0)</f>
        <v>26.037500000000001</v>
      </c>
      <c r="L365" s="209"/>
      <c r="M365" s="209"/>
      <c r="N365" s="209"/>
      <c r="O365" s="209"/>
      <c r="P365" s="429"/>
    </row>
    <row r="366" spans="1:16" ht="20.25">
      <c r="A366" s="404"/>
      <c r="B366" s="124"/>
      <c r="C366" s="480" t="s">
        <v>14</v>
      </c>
      <c r="D366" s="125" t="s">
        <v>34</v>
      </c>
      <c r="E366" s="126"/>
      <c r="F366" s="126"/>
      <c r="G366" s="127"/>
      <c r="H366" s="128"/>
      <c r="I366" s="42"/>
      <c r="J366" s="42"/>
      <c r="K366" s="43"/>
      <c r="L366" s="122"/>
      <c r="M366" s="122"/>
      <c r="N366" s="122"/>
      <c r="O366" s="122"/>
      <c r="P366" s="405"/>
    </row>
    <row r="367" spans="1:16" ht="20.25">
      <c r="A367" s="404"/>
      <c r="B367" s="130"/>
      <c r="C367" s="124"/>
      <c r="D367" s="130"/>
      <c r="E367" s="129" t="s">
        <v>136</v>
      </c>
      <c r="F367" s="130"/>
      <c r="G367" s="128"/>
      <c r="H367" s="137" t="s">
        <v>31</v>
      </c>
      <c r="I367" s="145">
        <v>0</v>
      </c>
      <c r="J367" s="145">
        <f ca="1">IFERROR(__xludf.DUMMYFUNCTION("IMPORTRANGE(""https://docs.google.com/spreadsheets/d/12pGRKgvn2b31Uz_fjAl3XPzZUM_F2_O-zAHL2XHEPZg/edit?usp=sharing"",""รวมเหนือ!J367"")+IMPORTRANGE(""https://docs.google.com/spreadsheets/d/1c0UfJUA6nE6esVMy0kRcX_PENtt96DMxicQpqi3tips/edit?usp=sharing"","""&amp;"รวมตะวันออกเฉียงเหนือ!J367"")+IMPORTRANGE(""https://docs.google.com/spreadsheets/d/1iNWbYmj0agxPDl_yJgGu1eIremFPVMUuMWUKAjBzvrk/edit?usp=sharing"",""รวมกลาง!J367"")++IMPORTRANGE(""https://docs.google.com/spreadsheets/d/1uenpWDAH2bchvfvsSIjpd4bRU5D1faxJOaE"&amp;"34GQM5-c/edit?usp=sharing"",""รวมใต้!J367"")"),2672)</f>
        <v>2672</v>
      </c>
      <c r="K367" s="44">
        <f t="shared" ref="K367:K372" si="159">IF(I367&gt;0,J367*100/I367,0)</f>
        <v>0</v>
      </c>
      <c r="L367" s="122"/>
      <c r="M367" s="122"/>
      <c r="N367" s="122"/>
      <c r="O367" s="122"/>
      <c r="P367" s="405"/>
    </row>
    <row r="368" spans="1:16" ht="20.25">
      <c r="A368" s="404"/>
      <c r="B368" s="130"/>
      <c r="C368" s="124"/>
      <c r="D368" s="130"/>
      <c r="E368" s="130"/>
      <c r="F368" s="130"/>
      <c r="G368" s="128"/>
      <c r="H368" s="137" t="s">
        <v>42</v>
      </c>
      <c r="I368" s="145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+IMPORTRANGE(""https://docs.google.com/spreadsheets/d/1uenpWDAH2bchvfvsSIjpd4bRU5D1faxJOaE"&amp;"34GQM5-c/edit?usp=sharing"",""รวมใต้!I368"")"),140750)</f>
        <v>140750</v>
      </c>
      <c r="J368" s="145">
        <f ca="1">IFERROR(__xludf.DUMMYFUNCTION("IMPORTRANGE(""https://docs.google.com/spreadsheets/d/12pGRKgvn2b31Uz_fjAl3XPzZUM_F2_O-zAHL2XHEPZg/edit?usp=sharing"",""รวมเหนือ!J368"")+IMPORTRANGE(""https://docs.google.com/spreadsheets/d/1c0UfJUA6nE6esVMy0kRcX_PENtt96DMxicQpqi3tips/edit?usp=sharing"","""&amp;"รวมตะวันออกเฉียงเหนือ!J368"")+IMPORTRANGE(""https://docs.google.com/spreadsheets/d/1iNWbYmj0agxPDl_yJgGu1eIremFPVMUuMWUKAjBzvrk/edit?usp=sharing"",""รวมกลาง!J368"")++IMPORTRANGE(""https://docs.google.com/spreadsheets/d/1uenpWDAH2bchvfvsSIjpd4bRU5D1faxJOaE"&amp;"34GQM5-c/edit?usp=sharing"",""รวมใต้!J368"")"),24424.1599999999)</f>
        <v>24424.159999999902</v>
      </c>
      <c r="K368" s="44">
        <f t="shared" ca="1" si="159"/>
        <v>17.352866785079861</v>
      </c>
      <c r="L368" s="122"/>
      <c r="M368" s="122"/>
      <c r="N368" s="122"/>
      <c r="O368" s="122"/>
      <c r="P368" s="405"/>
    </row>
    <row r="369" spans="1:16" ht="20.25">
      <c r="A369" s="404"/>
      <c r="B369" s="130"/>
      <c r="C369" s="124"/>
      <c r="D369" s="130"/>
      <c r="E369" s="129" t="s">
        <v>137</v>
      </c>
      <c r="F369" s="130"/>
      <c r="G369" s="128"/>
      <c r="H369" s="134" t="s">
        <v>31</v>
      </c>
      <c r="I369" s="145">
        <f ca="1">IFERROR(__xludf.DUMMYFUNCTION("IMPORTRANGE(""https://docs.google.com/spreadsheets/d/12pGRKgvn2b31Uz_fjAl3XPzZUM_F2_O-zAHL2XHEPZg/edit?usp=sharing"",""รวมเหนือ!I369"")+IMPORTRANGE(""https://docs.google.com/spreadsheets/d/1c0UfJUA6nE6esVMy0kRcX_PENtt96DMxicQpqi3tips/edit?usp=sharing"","""&amp;"รวมตะวันออกเฉียงเหนือ!I369"")+IMPORTRANGE(""https://docs.google.com/spreadsheets/d/1iNWbYmj0agxPDl_yJgGu1eIremFPVMUuMWUKAjBzvrk/edit?usp=sharing"",""รวมกลาง!I369"")++IMPORTRANGE(""https://docs.google.com/spreadsheets/d/1uenpWDAH2bchvfvsSIjpd4bRU5D1faxJOaE"&amp;"34GQM5-c/edit?usp=sharing"",""รวมใต้!I369"")"),24000)</f>
        <v>24000</v>
      </c>
      <c r="J369" s="145">
        <f ca="1">IFERROR(__xludf.DUMMYFUNCTION("IMPORTRANGE(""https://docs.google.com/spreadsheets/d/12pGRKgvn2b31Uz_fjAl3XPzZUM_F2_O-zAHL2XHEPZg/edit?usp=sharing"",""รวมเหนือ!J369"")+IMPORTRANGE(""https://docs.google.com/spreadsheets/d/1c0UfJUA6nE6esVMy0kRcX_PENtt96DMxicQpqi3tips/edit?usp=sharing"","""&amp;"รวมตะวันออกเฉียงเหนือ!J369"")+IMPORTRANGE(""https://docs.google.com/spreadsheets/d/1iNWbYmj0agxPDl_yJgGu1eIremFPVMUuMWUKAjBzvrk/edit?usp=sharing"",""รวมกลาง!J369"")++IMPORTRANGE(""https://docs.google.com/spreadsheets/d/1uenpWDAH2bchvfvsSIjpd4bRU5D1faxJOaE"&amp;"34GQM5-c/edit?usp=sharing"",""รวมใต้!J369"")"),6510)</f>
        <v>6510</v>
      </c>
      <c r="K369" s="44">
        <f t="shared" ca="1" si="159"/>
        <v>27.125</v>
      </c>
      <c r="L369" s="122"/>
      <c r="M369" s="122"/>
      <c r="N369" s="122"/>
      <c r="O369" s="122"/>
      <c r="P369" s="405"/>
    </row>
    <row r="370" spans="1:16" ht="20.25">
      <c r="A370" s="404"/>
      <c r="B370" s="130"/>
      <c r="C370" s="124"/>
      <c r="D370" s="130"/>
      <c r="E370" s="130"/>
      <c r="F370" s="130"/>
      <c r="G370" s="128"/>
      <c r="H370" s="134" t="s">
        <v>42</v>
      </c>
      <c r="I370" s="145">
        <v>0</v>
      </c>
      <c r="J370" s="145">
        <f ca="1">IFERROR(__xludf.DUMMYFUNCTION("IMPORTRANGE(""https://docs.google.com/spreadsheets/d/12pGRKgvn2b31Uz_fjAl3XPzZUM_F2_O-zAHL2XHEPZg/edit?usp=sharing"",""รวมเหนือ!J370"")+IMPORTRANGE(""https://docs.google.com/spreadsheets/d/1c0UfJUA6nE6esVMy0kRcX_PENtt96DMxicQpqi3tips/edit?usp=sharing"","""&amp;"รวมตะวันออกเฉียงเหนือ!J370"")+IMPORTRANGE(""https://docs.google.com/spreadsheets/d/1iNWbYmj0agxPDl_yJgGu1eIremFPVMUuMWUKAjBzvrk/edit?usp=sharing"",""รวมกลาง!J370"")++IMPORTRANGE(""https://docs.google.com/spreadsheets/d/1uenpWDAH2bchvfvsSIjpd4bRU5D1faxJOaE"&amp;"34GQM5-c/edit?usp=sharing"",""รวมใต้!J370"")"),80492.87)</f>
        <v>80492.87</v>
      </c>
      <c r="K370" s="44">
        <f t="shared" si="159"/>
        <v>0</v>
      </c>
      <c r="L370" s="122"/>
      <c r="M370" s="122"/>
      <c r="N370" s="122"/>
      <c r="O370" s="122"/>
      <c r="P370" s="405"/>
    </row>
    <row r="371" spans="1:16" ht="20.25">
      <c r="A371" s="404"/>
      <c r="B371" s="130"/>
      <c r="C371" s="124"/>
      <c r="D371" s="130"/>
      <c r="E371" s="129" t="s">
        <v>138</v>
      </c>
      <c r="F371" s="130"/>
      <c r="G371" s="128"/>
      <c r="H371" s="134" t="s">
        <v>31</v>
      </c>
      <c r="I371" s="145">
        <f ca="1">IFERROR(__xludf.DUMMYFUNCTION("IMPORTRANGE(""https://docs.google.com/spreadsheets/d/12pGRKgvn2b31Uz_fjAl3XPzZUM_F2_O-zAHL2XHEPZg/edit?usp=sharing"",""รวมเหนือ!I371"")+IMPORTRANGE(""https://docs.google.com/spreadsheets/d/1c0UfJUA6nE6esVMy0kRcX_PENtt96DMxicQpqi3tips/edit?usp=sharing"","""&amp;"รวมตะวันออกเฉียงเหนือ!I371"")+IMPORTRANGE(""https://docs.google.com/spreadsheets/d/1iNWbYmj0agxPDl_yJgGu1eIremFPVMUuMWUKAjBzvrk/edit?usp=sharing"",""รวมกลาง!I371"")++IMPORTRANGE(""https://docs.google.com/spreadsheets/d/1uenpWDAH2bchvfvsSIjpd4bRU5D1faxJOaE"&amp;"34GQM5-c/edit?usp=sharing"",""รวมใต้!I371"")"),16000)</f>
        <v>16000</v>
      </c>
      <c r="J371" s="145">
        <f ca="1">IFERROR(__xludf.DUMMYFUNCTION("IMPORTRANGE(""https://docs.google.com/spreadsheets/d/12pGRKgvn2b31Uz_fjAl3XPzZUM_F2_O-zAHL2XHEPZg/edit?usp=sharing"",""รวมเหนือ!J371"")+IMPORTRANGE(""https://docs.google.com/spreadsheets/d/1c0UfJUA6nE6esVMy0kRcX_PENtt96DMxicQpqi3tips/edit?usp=sharing"","""&amp;"รวมตะวันออกเฉียงเหนือ!J371"")+IMPORTRANGE(""https://docs.google.com/spreadsheets/d/1iNWbYmj0agxPDl_yJgGu1eIremFPVMUuMWUKAjBzvrk/edit?usp=sharing"",""รวมกลาง!J371"")++IMPORTRANGE(""https://docs.google.com/spreadsheets/d/1uenpWDAH2bchvfvsSIjpd4bRU5D1faxJOaE"&amp;"34GQM5-c/edit?usp=sharing"",""รวมใต้!J371"")"),4166)</f>
        <v>4166</v>
      </c>
      <c r="K371" s="44">
        <f t="shared" ca="1" si="159"/>
        <v>26.037500000000001</v>
      </c>
      <c r="L371" s="122"/>
      <c r="M371" s="122"/>
      <c r="N371" s="122"/>
      <c r="O371" s="122"/>
      <c r="P371" s="405"/>
    </row>
    <row r="372" spans="1:16" ht="20.25">
      <c r="A372" s="436"/>
      <c r="B372" s="408"/>
      <c r="C372" s="437"/>
      <c r="D372" s="408"/>
      <c r="E372" s="408"/>
      <c r="F372" s="408"/>
      <c r="G372" s="244"/>
      <c r="H372" s="326" t="s">
        <v>42</v>
      </c>
      <c r="I372" s="184">
        <v>0</v>
      </c>
      <c r="J372" s="184">
        <f ca="1">IFERROR(__xludf.DUMMYFUNCTION("IMPORTRANGE(""https://docs.google.com/spreadsheets/d/12pGRKgvn2b31Uz_fjAl3XPzZUM_F2_O-zAHL2XHEPZg/edit?usp=sharing"",""รวมเหนือ!J372"")+IMPORTRANGE(""https://docs.google.com/spreadsheets/d/1c0UfJUA6nE6esVMy0kRcX_PENtt96DMxicQpqi3tips/edit?usp=sharing"","""&amp;"รวมตะวันออกเฉียงเหนือ!J372"")+IMPORTRANGE(""https://docs.google.com/spreadsheets/d/1iNWbYmj0agxPDl_yJgGu1eIremFPVMUuMWUKAjBzvrk/edit?usp=sharing"",""รวมกลาง!J372"")++IMPORTRANGE(""https://docs.google.com/spreadsheets/d/1uenpWDAH2bchvfvsSIjpd4bRU5D1faxJOaE"&amp;"34GQM5-c/edit?usp=sharing"",""รวมใต้!J372"")"),53784.5499999999)</f>
        <v>53784.549999999901</v>
      </c>
      <c r="K372" s="103">
        <f t="shared" si="159"/>
        <v>0</v>
      </c>
      <c r="L372" s="246"/>
      <c r="M372" s="246"/>
      <c r="N372" s="246"/>
      <c r="O372" s="246"/>
      <c r="P372" s="439"/>
    </row>
    <row r="373" spans="1:16" ht="20.25">
      <c r="A373" s="461"/>
      <c r="B373" s="328"/>
      <c r="C373" s="329"/>
      <c r="D373" s="327" t="str">
        <f ca="1">IFERROR(__xludf.DUMMYFUNCTION("IMPORTRANGE(""https://docs.google.com/spreadsheets/d/1gNPQPjxUj63ZZXIIIm2aX4x3w7PhAZpC9JuXdbpWwUQ/edit?usp=sharing"",""Sheet1!b4"")")," [ข้อมูลจาก ระบบ ALRO Land Online ข้อมูล ณ 3 ม.ค. 2566 เวลา 07.50 น.]")</f>
        <v xml:space="preserve"> [ข้อมูลจาก ระบบ ALRO Land Online ข้อมูล ณ 3 ม.ค. 2566 เวลา 07.50 น.]</v>
      </c>
      <c r="E373" s="330"/>
      <c r="F373" s="330"/>
      <c r="G373" s="330"/>
      <c r="H373" s="331"/>
      <c r="I373" s="332"/>
      <c r="J373" s="332"/>
      <c r="K373" s="333"/>
      <c r="L373" s="333"/>
      <c r="M373" s="333"/>
      <c r="N373" s="333"/>
      <c r="O373" s="333"/>
      <c r="P373" s="462"/>
    </row>
    <row r="374" spans="1:16" ht="20.25">
      <c r="A374" s="463" t="s">
        <v>139</v>
      </c>
      <c r="B374" s="334"/>
      <c r="C374" s="334"/>
      <c r="D374" s="334"/>
      <c r="E374" s="335"/>
      <c r="F374" s="335"/>
      <c r="G374" s="335"/>
      <c r="H374" s="335"/>
      <c r="I374" s="336"/>
      <c r="J374" s="336"/>
      <c r="K374" s="337"/>
      <c r="L374" s="337"/>
      <c r="M374" s="337"/>
      <c r="N374" s="337"/>
      <c r="O374" s="337"/>
      <c r="P374" s="464"/>
    </row>
    <row r="375" spans="1:16" ht="20.25">
      <c r="A375" s="465" t="s">
        <v>140</v>
      </c>
      <c r="B375" s="338"/>
      <c r="C375" s="338"/>
      <c r="D375" s="339"/>
      <c r="E375" s="338"/>
      <c r="F375" s="338"/>
      <c r="G375" s="338"/>
      <c r="H375" s="340"/>
      <c r="I375" s="341"/>
      <c r="J375" s="341"/>
      <c r="K375" s="342"/>
      <c r="L375" s="342"/>
      <c r="M375" s="342"/>
      <c r="N375" s="342"/>
      <c r="O375" s="342"/>
      <c r="P375" s="466"/>
    </row>
    <row r="376" spans="1:16" ht="20.25">
      <c r="A376" s="467"/>
      <c r="B376" s="343" t="s">
        <v>141</v>
      </c>
      <c r="C376" s="344"/>
      <c r="D376" s="345"/>
      <c r="E376" s="345"/>
      <c r="F376" s="345"/>
      <c r="G376" s="346"/>
      <c r="H376" s="347" t="s">
        <v>52</v>
      </c>
      <c r="I376" s="348">
        <f t="shared" ref="I376:J376" si="160">I388</f>
        <v>0</v>
      </c>
      <c r="J376" s="348">
        <f t="shared" si="160"/>
        <v>0</v>
      </c>
      <c r="K376" s="349">
        <f>IF(I376&gt;0,J376*100/I376,0)</f>
        <v>0</v>
      </c>
      <c r="L376" s="350"/>
      <c r="M376" s="350"/>
      <c r="N376" s="350"/>
      <c r="O376" s="350"/>
      <c r="P376" s="468"/>
    </row>
    <row r="377" spans="1:16" ht="20.25">
      <c r="A377" s="402"/>
      <c r="B377" s="38"/>
      <c r="C377" s="480" t="s">
        <v>14</v>
      </c>
      <c r="D377" s="116" t="s">
        <v>15</v>
      </c>
      <c r="E377" s="38"/>
      <c r="F377" s="38"/>
      <c r="G377" s="40"/>
      <c r="H377" s="117" t="s">
        <v>12</v>
      </c>
      <c r="I377" s="42"/>
      <c r="J377" s="42"/>
      <c r="K377" s="43"/>
      <c r="L377" s="118">
        <f t="shared" ref="L377:N377" ca="1" si="161">L378+L379</f>
        <v>12445400</v>
      </c>
      <c r="M377" s="118">
        <f t="shared" ca="1" si="161"/>
        <v>0</v>
      </c>
      <c r="N377" s="118">
        <f t="shared" ca="1" si="161"/>
        <v>0</v>
      </c>
      <c r="O377" s="118">
        <f t="shared" ref="O377:O385" ca="1" si="162">IF(L377&gt;0,N377*100/L377,0)</f>
        <v>0</v>
      </c>
      <c r="P377" s="403">
        <f t="shared" ref="P377:P385" ca="1" si="163">IF(M377&gt;0,N377*100/M377,0)</f>
        <v>0</v>
      </c>
    </row>
    <row r="378" spans="1:16" ht="20.25">
      <c r="A378" s="402"/>
      <c r="B378" s="38"/>
      <c r="C378" s="38"/>
      <c r="D378" s="38"/>
      <c r="E378" s="38" t="s">
        <v>16</v>
      </c>
      <c r="F378" s="38"/>
      <c r="G378" s="40"/>
      <c r="H378" s="119" t="s">
        <v>12</v>
      </c>
      <c r="I378" s="42"/>
      <c r="J378" s="42"/>
      <c r="K378" s="43"/>
      <c r="L378" s="44">
        <f t="shared" ref="L378:N378" ca="1" si="164">L381+L384</f>
        <v>12445400</v>
      </c>
      <c r="M378" s="44">
        <f t="shared" ca="1" si="164"/>
        <v>0</v>
      </c>
      <c r="N378" s="44">
        <f t="shared" ca="1" si="164"/>
        <v>0</v>
      </c>
      <c r="O378" s="44">
        <f t="shared" ca="1" si="162"/>
        <v>0</v>
      </c>
      <c r="P378" s="369">
        <f t="shared" ca="1" si="163"/>
        <v>0</v>
      </c>
    </row>
    <row r="379" spans="1:16" ht="20.25">
      <c r="A379" s="402"/>
      <c r="B379" s="38"/>
      <c r="C379" s="38"/>
      <c r="D379" s="38"/>
      <c r="E379" s="38" t="s">
        <v>17</v>
      </c>
      <c r="F379" s="38"/>
      <c r="G379" s="40"/>
      <c r="H379" s="119" t="s">
        <v>12</v>
      </c>
      <c r="I379" s="42"/>
      <c r="J379" s="42"/>
      <c r="K379" s="43"/>
      <c r="L379" s="44">
        <f t="shared" ref="L379:N379" ca="1" si="165">L382+L385</f>
        <v>0</v>
      </c>
      <c r="M379" s="44">
        <f t="shared" ca="1" si="165"/>
        <v>0</v>
      </c>
      <c r="N379" s="44">
        <f t="shared" ca="1" si="165"/>
        <v>0</v>
      </c>
      <c r="O379" s="44">
        <f t="shared" ca="1" si="162"/>
        <v>0</v>
      </c>
      <c r="P379" s="369">
        <f t="shared" ca="1" si="163"/>
        <v>0</v>
      </c>
    </row>
    <row r="380" spans="1:16" ht="20.25">
      <c r="A380" s="402"/>
      <c r="B380" s="38"/>
      <c r="C380" s="38"/>
      <c r="D380" s="39" t="s">
        <v>18</v>
      </c>
      <c r="E380" s="38"/>
      <c r="F380" s="38"/>
      <c r="G380" s="40"/>
      <c r="H380" s="120" t="s">
        <v>12</v>
      </c>
      <c r="I380" s="121"/>
      <c r="J380" s="121"/>
      <c r="K380" s="122"/>
      <c r="L380" s="44">
        <f t="shared" ref="L380:N380" ca="1" si="166">L381+L382</f>
        <v>0</v>
      </c>
      <c r="M380" s="44">
        <f t="shared" ca="1" si="166"/>
        <v>0</v>
      </c>
      <c r="N380" s="44">
        <f t="shared" ca="1" si="166"/>
        <v>0</v>
      </c>
      <c r="O380" s="44">
        <f t="shared" ca="1" si="162"/>
        <v>0</v>
      </c>
      <c r="P380" s="369">
        <f t="shared" ca="1" si="163"/>
        <v>0</v>
      </c>
    </row>
    <row r="381" spans="1:16" ht="20.25">
      <c r="A381" s="402"/>
      <c r="B381" s="38"/>
      <c r="C381" s="38"/>
      <c r="D381" s="38"/>
      <c r="E381" s="38" t="s">
        <v>32</v>
      </c>
      <c r="F381" s="38"/>
      <c r="G381" s="40"/>
      <c r="H381" s="120" t="s">
        <v>12</v>
      </c>
      <c r="I381" s="121"/>
      <c r="J381" s="121"/>
      <c r="K381" s="122"/>
      <c r="L381" s="44">
        <f ca="1">IFERROR(__xludf.DUMMYFUNCTION("IMPORTRANGE(""https://docs.google.com/spreadsheets/d/12pGRKgvn2b31Uz_fjAl3XPzZUM_F2_O-zAHL2XHEPZg/edit?usp=sharing"",""รวมเหนือ!L381"")+IMPORTRANGE(""https://docs.google.com/spreadsheets/d/1c0UfJUA6nE6esVMy0kRcX_PENtt96DMxicQpqi3tips/edit?usp=sharing"","""&amp;"รวมตะวันออกเฉียงเหนือ!L381"")+IMPORTRANGE(""https://docs.google.com/spreadsheets/d/1iNWbYmj0agxPDl_yJgGu1eIremFPVMUuMWUKAjBzvrk/edit?usp=sharing"",""รวมกลาง!L381"")++IMPORTRANGE(""https://docs.google.com/spreadsheets/d/1uenpWDAH2bchvfvsSIjpd4bRU5D1faxJOaE"&amp;"34GQM5-c/edit?usp=sharing"",""รวมใต้!L381"")"),0)</f>
        <v>0</v>
      </c>
      <c r="M381" s="44">
        <f ca="1">IFERROR(__xludf.DUMMYFUNCTION("IMPORTRANGE(""https://docs.google.com/spreadsheets/d/12pGRKgvn2b31Uz_fjAl3XPzZUM_F2_O-zAHL2XHEPZg/edit?usp=sharing"",""รวมเหนือ!M381"")+IMPORTRANGE(""https://docs.google.com/spreadsheets/d/1c0UfJUA6nE6esVMy0kRcX_PENtt96DMxicQpqi3tips/edit?usp=sharing"","""&amp;"รวมตะวันออกเฉียงเหนือ!M381"")+IMPORTRANGE(""https://docs.google.com/spreadsheets/d/1iNWbYmj0agxPDl_yJgGu1eIremFPVMUuMWUKAjBzvrk/edit?usp=sharing"",""รวมกลาง!M381"")++IMPORTRANGE(""https://docs.google.com/spreadsheets/d/1uenpWDAH2bchvfvsSIjpd4bRU5D1faxJOaE"&amp;"34GQM5-c/edit?usp=sharing"",""รวมใต้!M381"")"),0)</f>
        <v>0</v>
      </c>
      <c r="N381" s="44">
        <f ca="1">IFERROR(__xludf.DUMMYFUNCTION("IMPORTRANGE(""https://docs.google.com/spreadsheets/d/12pGRKgvn2b31Uz_fjAl3XPzZUM_F2_O-zAHL2XHEPZg/edit?usp=sharing"",""รวมเหนือ!N381"")+IMPORTRANGE(""https://docs.google.com/spreadsheets/d/1c0UfJUA6nE6esVMy0kRcX_PENtt96DMxicQpqi3tips/edit?usp=sharing"","""&amp;"รวมตะวันออกเฉียงเหนือ!N381"")+IMPORTRANGE(""https://docs.google.com/spreadsheets/d/1iNWbYmj0agxPDl_yJgGu1eIremFPVMUuMWUKAjBzvrk/edit?usp=sharing"",""รวมกลาง!N381"")++IMPORTRANGE(""https://docs.google.com/spreadsheets/d/1uenpWDAH2bchvfvsSIjpd4bRU5D1faxJOaE"&amp;"34GQM5-c/edit?usp=sharing"",""รวมใต้!N381"")"),0)</f>
        <v>0</v>
      </c>
      <c r="O381" s="44">
        <f t="shared" ca="1" si="162"/>
        <v>0</v>
      </c>
      <c r="P381" s="369">
        <f t="shared" ca="1" si="163"/>
        <v>0</v>
      </c>
    </row>
    <row r="382" spans="1:16" ht="20.25">
      <c r="A382" s="402"/>
      <c r="B382" s="38"/>
      <c r="C382" s="38"/>
      <c r="D382" s="38"/>
      <c r="E382" s="38" t="s">
        <v>33</v>
      </c>
      <c r="F382" s="38"/>
      <c r="G382" s="40"/>
      <c r="H382" s="120" t="s">
        <v>12</v>
      </c>
      <c r="I382" s="121"/>
      <c r="J382" s="121"/>
      <c r="K382" s="122"/>
      <c r="L382" s="44">
        <f ca="1">IFERROR(__xludf.DUMMYFUNCTION("IMPORTRANGE(""https://docs.google.com/spreadsheets/d/12pGRKgvn2b31Uz_fjAl3XPzZUM_F2_O-zAHL2XHEPZg/edit?usp=sharing"",""รวมเหนือ!L382"")+IMPORTRANGE(""https://docs.google.com/spreadsheets/d/1c0UfJUA6nE6esVMy0kRcX_PENtt96DMxicQpqi3tips/edit?usp=sharing"","""&amp;"รวมตะวันออกเฉียงเหนือ!L382"")+IMPORTRANGE(""https://docs.google.com/spreadsheets/d/1iNWbYmj0agxPDl_yJgGu1eIremFPVMUuMWUKAjBzvrk/edit?usp=sharing"",""รวมกลาง!L382"")++IMPORTRANGE(""https://docs.google.com/spreadsheets/d/1uenpWDAH2bchvfvsSIjpd4bRU5D1faxJOaE"&amp;"34GQM5-c/edit?usp=sharing"",""รวมใต้!L382"")"),0)</f>
        <v>0</v>
      </c>
      <c r="M382" s="44">
        <f ca="1">IFERROR(__xludf.DUMMYFUNCTION("IMPORTRANGE(""https://docs.google.com/spreadsheets/d/12pGRKgvn2b31Uz_fjAl3XPzZUM_F2_O-zAHL2XHEPZg/edit?usp=sharing"",""รวมเหนือ!M382"")+IMPORTRANGE(""https://docs.google.com/spreadsheets/d/1c0UfJUA6nE6esVMy0kRcX_PENtt96DMxicQpqi3tips/edit?usp=sharing"","""&amp;"รวมตะวันออกเฉียงเหนือ!M382"")+IMPORTRANGE(""https://docs.google.com/spreadsheets/d/1iNWbYmj0agxPDl_yJgGu1eIremFPVMUuMWUKAjBzvrk/edit?usp=sharing"",""รวมกลาง!M382"")++IMPORTRANGE(""https://docs.google.com/spreadsheets/d/1uenpWDAH2bchvfvsSIjpd4bRU5D1faxJOaE"&amp;"34GQM5-c/edit?usp=sharing"",""รวมใต้!M382"")"),0)</f>
        <v>0</v>
      </c>
      <c r="N382" s="44">
        <f ca="1">IFERROR(__xludf.DUMMYFUNCTION("IMPORTRANGE(""https://docs.google.com/spreadsheets/d/12pGRKgvn2b31Uz_fjAl3XPzZUM_F2_O-zAHL2XHEPZg/edit?usp=sharing"",""รวมเหนือ!N382"")+IMPORTRANGE(""https://docs.google.com/spreadsheets/d/1c0UfJUA6nE6esVMy0kRcX_PENtt96DMxicQpqi3tips/edit?usp=sharing"","""&amp;"รวมตะวันออกเฉียงเหนือ!N382"")+IMPORTRANGE(""https://docs.google.com/spreadsheets/d/1iNWbYmj0agxPDl_yJgGu1eIremFPVMUuMWUKAjBzvrk/edit?usp=sharing"",""รวมกลาง!N382"")++IMPORTRANGE(""https://docs.google.com/spreadsheets/d/1uenpWDAH2bchvfvsSIjpd4bRU5D1faxJOaE"&amp;"34GQM5-c/edit?usp=sharing"",""รวมใต้!N382"")"),0)</f>
        <v>0</v>
      </c>
      <c r="O382" s="44">
        <f t="shared" ca="1" si="162"/>
        <v>0</v>
      </c>
      <c r="P382" s="369">
        <f t="shared" ca="1" si="163"/>
        <v>0</v>
      </c>
    </row>
    <row r="383" spans="1:16" ht="20.25">
      <c r="A383" s="402"/>
      <c r="B383" s="38"/>
      <c r="C383" s="38"/>
      <c r="D383" s="39" t="s">
        <v>19</v>
      </c>
      <c r="E383" s="38"/>
      <c r="F383" s="38"/>
      <c r="G383" s="40"/>
      <c r="H383" s="123" t="s">
        <v>12</v>
      </c>
      <c r="I383" s="121"/>
      <c r="J383" s="121"/>
      <c r="K383" s="122"/>
      <c r="L383" s="44">
        <f t="shared" ref="L383:N383" ca="1" si="167">L384+L385</f>
        <v>12445400</v>
      </c>
      <c r="M383" s="44">
        <f t="shared" ca="1" si="167"/>
        <v>0</v>
      </c>
      <c r="N383" s="44">
        <f t="shared" ca="1" si="167"/>
        <v>0</v>
      </c>
      <c r="O383" s="44">
        <f t="shared" ca="1" si="162"/>
        <v>0</v>
      </c>
      <c r="P383" s="369">
        <f t="shared" ca="1" si="163"/>
        <v>0</v>
      </c>
    </row>
    <row r="384" spans="1:16" ht="20.25">
      <c r="A384" s="402"/>
      <c r="B384" s="38"/>
      <c r="C384" s="38"/>
      <c r="D384" s="38"/>
      <c r="E384" s="38" t="s">
        <v>16</v>
      </c>
      <c r="F384" s="38"/>
      <c r="G384" s="40"/>
      <c r="H384" s="120" t="s">
        <v>12</v>
      </c>
      <c r="I384" s="121"/>
      <c r="J384" s="121"/>
      <c r="K384" s="122"/>
      <c r="L384" s="44">
        <f ca="1">IFERROR(__xludf.DUMMYFUNCTION("IMPORTRANGE(""https://docs.google.com/spreadsheets/d/12pGRKgvn2b31Uz_fjAl3XPzZUM_F2_O-zAHL2XHEPZg/edit?usp=sharing"",""รวมเหนือ!L385"")+IMPORTRANGE(""https://docs.google.com/spreadsheets/d/1c0UfJUA6nE6esVMy0kRcX_PENtt96DMxicQpqi3tips/edit?usp=sharing"","""&amp;"รวมตะวันออกเฉียงเหนือ!L385"")+IMPORTRANGE(""https://docs.google.com/spreadsheets/d/1iNWbYmj0agxPDl_yJgGu1eIremFPVMUuMWUKAjBzvrk/edit?usp=sharing"",""รวมกลาง!L385"")++IMPORTRANGE(""https://docs.google.com/spreadsheets/d/1uenpWDAH2bchvfvsSIjpd4bRU5D1faxJOaE"&amp;"34GQM5-c/edit?usp=sharing"",""รวมใต้!L385"")"),12445400)</f>
        <v>12445400</v>
      </c>
      <c r="M384" s="44">
        <f ca="1">IFERROR(__xludf.DUMMYFUNCTION("IMPORTRANGE(""https://docs.google.com/spreadsheets/d/12pGRKgvn2b31Uz_fjAl3XPzZUM_F2_O-zAHL2XHEPZg/edit?usp=sharing"",""รวมเหนือ!M384"")+IMPORTRANGE(""https://docs.google.com/spreadsheets/d/1c0UfJUA6nE6esVMy0kRcX_PENtt96DMxicQpqi3tips/edit?usp=sharing"","""&amp;"รวมตะวันออกเฉียงเหนือ!M384"")+IMPORTRANGE(""https://docs.google.com/spreadsheets/d/1iNWbYmj0agxPDl_yJgGu1eIremFPVMUuMWUKAjBzvrk/edit?usp=sharing"",""รวมกลาง!M384"")++IMPORTRANGE(""https://docs.google.com/spreadsheets/d/1uenpWDAH2bchvfvsSIjpd4bRU5D1faxJOaE"&amp;"34GQM5-c/edit?usp=sharing"",""รวมใต้!M384"")"),0)</f>
        <v>0</v>
      </c>
      <c r="N384" s="44">
        <f ca="1">IFERROR(__xludf.DUMMYFUNCTION("IMPORTRANGE(""https://docs.google.com/spreadsheets/d/12pGRKgvn2b31Uz_fjAl3XPzZUM_F2_O-zAHL2XHEPZg/edit?usp=sharing"",""รวมเหนือ!N384"")+IMPORTRANGE(""https://docs.google.com/spreadsheets/d/1c0UfJUA6nE6esVMy0kRcX_PENtt96DMxicQpqi3tips/edit?usp=sharing"","""&amp;"รวมตะวันออกเฉียงเหนือ!N384"")+IMPORTRANGE(""https://docs.google.com/spreadsheets/d/1iNWbYmj0agxPDl_yJgGu1eIremFPVMUuMWUKAjBzvrk/edit?usp=sharing"",""รวมกลาง!N384"")++IMPORTRANGE(""https://docs.google.com/spreadsheets/d/1uenpWDAH2bchvfvsSIjpd4bRU5D1faxJOaE"&amp;"34GQM5-c/edit?usp=sharing"",""รวมใต้!N384"")"),0)</f>
        <v>0</v>
      </c>
      <c r="O384" s="44">
        <f t="shared" ca="1" si="162"/>
        <v>0</v>
      </c>
      <c r="P384" s="369">
        <f t="shared" ca="1" si="163"/>
        <v>0</v>
      </c>
    </row>
    <row r="385" spans="1:16" ht="20.25">
      <c r="A385" s="402"/>
      <c r="B385" s="38"/>
      <c r="C385" s="38"/>
      <c r="D385" s="38"/>
      <c r="E385" s="38" t="s">
        <v>17</v>
      </c>
      <c r="F385" s="38"/>
      <c r="G385" s="40"/>
      <c r="H385" s="123" t="s">
        <v>12</v>
      </c>
      <c r="I385" s="121"/>
      <c r="J385" s="121"/>
      <c r="K385" s="122"/>
      <c r="L385" s="44">
        <v>0</v>
      </c>
      <c r="M385" s="44">
        <f ca="1">IFERROR(__xludf.DUMMYFUNCTION("IMPORTRANGE(""https://docs.google.com/spreadsheets/d/12pGRKgvn2b31Uz_fjAl3XPzZUM_F2_O-zAHL2XHEPZg/edit?usp=sharing"",""รวมเหนือ!M385"")+IMPORTRANGE(""https://docs.google.com/spreadsheets/d/1c0UfJUA6nE6esVMy0kRcX_PENtt96DMxicQpqi3tips/edit?usp=sharing"","""&amp;"รวมตะวันออกเฉียงเหนือ!M385"")+IMPORTRANGE(""https://docs.google.com/spreadsheets/d/1iNWbYmj0agxPDl_yJgGu1eIremFPVMUuMWUKAjBzvrk/edit?usp=sharing"",""รวมกลาง!M385"")++IMPORTRANGE(""https://docs.google.com/spreadsheets/d/1uenpWDAH2bchvfvsSIjpd4bRU5D1faxJOaE"&amp;"34GQM5-c/edit?usp=sharing"",""รวมใต้!M385"")"),0)</f>
        <v>0</v>
      </c>
      <c r="N385" s="44">
        <f ca="1">IFERROR(__xludf.DUMMYFUNCTION("IMPORTRANGE(""https://docs.google.com/spreadsheets/d/12pGRKgvn2b31Uz_fjAl3XPzZUM_F2_O-zAHL2XHEPZg/edit?usp=sharing"",""รวมเหนือ!N385"")+IMPORTRANGE(""https://docs.google.com/spreadsheets/d/1c0UfJUA6nE6esVMy0kRcX_PENtt96DMxicQpqi3tips/edit?usp=sharing"","""&amp;"รวมตะวันออกเฉียงเหนือ!N385"")+IMPORTRANGE(""https://docs.google.com/spreadsheets/d/1iNWbYmj0agxPDl_yJgGu1eIremFPVMUuMWUKAjBzvrk/edit?usp=sharing"",""รวมกลาง!N385"")++IMPORTRANGE(""https://docs.google.com/spreadsheets/d/1uenpWDAH2bchvfvsSIjpd4bRU5D1faxJOaE"&amp;"34GQM5-c/edit?usp=sharing"",""รวมใต้!N385"")"),0)</f>
        <v>0</v>
      </c>
      <c r="O385" s="44">
        <f t="shared" si="162"/>
        <v>0</v>
      </c>
      <c r="P385" s="369">
        <f t="shared" ca="1" si="163"/>
        <v>0</v>
      </c>
    </row>
    <row r="386" spans="1:16" ht="20.25">
      <c r="A386" s="404"/>
      <c r="B386" s="124"/>
      <c r="C386" s="480" t="s">
        <v>14</v>
      </c>
      <c r="D386" s="125" t="s">
        <v>34</v>
      </c>
      <c r="E386" s="126"/>
      <c r="F386" s="126"/>
      <c r="G386" s="127"/>
      <c r="H386" s="128"/>
      <c r="I386" s="121"/>
      <c r="J386" s="42"/>
      <c r="K386" s="43"/>
      <c r="L386" s="43"/>
      <c r="M386" s="43"/>
      <c r="N386" s="43"/>
      <c r="O386" s="122"/>
      <c r="P386" s="405"/>
    </row>
    <row r="387" spans="1:16" ht="20.25">
      <c r="A387" s="427"/>
      <c r="B387" s="38"/>
      <c r="C387" s="200"/>
      <c r="D387" s="130" t="s">
        <v>142</v>
      </c>
      <c r="E387" s="124"/>
      <c r="F387" s="38"/>
      <c r="G387" s="40"/>
      <c r="H387" s="201" t="s">
        <v>9</v>
      </c>
      <c r="I387" s="145">
        <v>0</v>
      </c>
      <c r="J387" s="145">
        <v>0</v>
      </c>
      <c r="K387" s="44">
        <f t="shared" ref="K387:K388" si="168">IF(I387&gt;0,J387*100/I387,0)</f>
        <v>0</v>
      </c>
      <c r="L387" s="43"/>
      <c r="M387" s="43"/>
      <c r="N387" s="43"/>
      <c r="O387" s="43"/>
      <c r="P387" s="412"/>
    </row>
    <row r="388" spans="1:16" ht="20.25">
      <c r="A388" s="469"/>
      <c r="B388" s="470"/>
      <c r="C388" s="471"/>
      <c r="D388" s="472" t="s">
        <v>143</v>
      </c>
      <c r="E388" s="473"/>
      <c r="F388" s="470"/>
      <c r="G388" s="474"/>
      <c r="H388" s="475" t="s">
        <v>52</v>
      </c>
      <c r="I388" s="476">
        <v>0</v>
      </c>
      <c r="J388" s="476">
        <v>0</v>
      </c>
      <c r="K388" s="477">
        <f t="shared" si="168"/>
        <v>0</v>
      </c>
      <c r="L388" s="478"/>
      <c r="M388" s="478"/>
      <c r="N388" s="478"/>
      <c r="O388" s="478"/>
      <c r="P388" s="479"/>
    </row>
    <row r="389" spans="1:16" ht="20.25"/>
    <row r="390" spans="1:16" ht="20.25">
      <c r="A390" s="351" t="s">
        <v>144</v>
      </c>
    </row>
    <row r="391" spans="1:16" ht="20.25">
      <c r="A391" s="35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28 ธ.ค.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28 ธ.ค. 66</v>
      </c>
    </row>
    <row r="392" spans="1:16" ht="20.25"/>
    <row r="393" spans="1:16" ht="20.25"/>
    <row r="394" spans="1:16" ht="20.25"/>
    <row r="395" spans="1:16" ht="20.25"/>
    <row r="396" spans="1:16" ht="20.25"/>
    <row r="397" spans="1:16" ht="20.25"/>
    <row r="398" spans="1:16" ht="20.25"/>
    <row r="399" spans="1:16" ht="20.25"/>
    <row r="400" spans="1:16" ht="20.25"/>
    <row r="401" ht="20.25"/>
    <row r="402" ht="20.25"/>
    <row r="403" ht="20.25"/>
    <row r="404" ht="20.25"/>
    <row r="405" ht="20.25"/>
    <row r="406" ht="20.25"/>
    <row r="407" ht="20.25"/>
    <row r="408" ht="20.25"/>
    <row r="409" ht="20.25"/>
    <row r="410" ht="20.25"/>
    <row r="411" ht="20.25"/>
    <row r="412" ht="20.25"/>
    <row r="413" ht="20.25"/>
    <row r="414" ht="20.25"/>
    <row r="415" ht="20.25"/>
    <row r="416" ht="20.25"/>
    <row r="417" ht="20.25"/>
    <row r="418" ht="20.25"/>
    <row r="419" ht="20.25"/>
    <row r="420" ht="20.25"/>
    <row r="421" ht="20.25"/>
    <row r="422" ht="20.25"/>
    <row r="423" ht="20.25"/>
    <row r="424" ht="20.25"/>
    <row r="425" ht="20.25"/>
    <row r="426" ht="20.25"/>
    <row r="427" ht="20.25"/>
    <row r="428" ht="20.25"/>
    <row r="429" ht="20.25"/>
    <row r="430" ht="20.25"/>
    <row r="431" ht="20.25"/>
    <row r="432" ht="20.25"/>
    <row r="433" ht="20.25"/>
    <row r="434" ht="20.25"/>
    <row r="435" ht="20.25"/>
    <row r="436" ht="20.25"/>
    <row r="437" ht="20.25"/>
    <row r="438" ht="20.25"/>
    <row r="439" ht="20.25"/>
    <row r="440" ht="20.25"/>
    <row r="441" ht="20.25"/>
    <row r="442" ht="20.25"/>
    <row r="443" ht="20.25"/>
    <row r="444" ht="20.25"/>
    <row r="445" ht="20.25"/>
    <row r="446" ht="20.25"/>
    <row r="447" ht="20.25"/>
    <row r="448" ht="20.25"/>
    <row r="449" ht="20.25"/>
    <row r="450" ht="20.25"/>
    <row r="451" ht="20.25"/>
    <row r="452" ht="20.25"/>
    <row r="453" ht="20.25"/>
    <row r="454" ht="20.25"/>
    <row r="455" ht="20.25"/>
    <row r="456" ht="20.25"/>
    <row r="457" ht="20.25"/>
    <row r="458" ht="20.25"/>
    <row r="459" ht="20.25"/>
    <row r="460" ht="20.25"/>
    <row r="461" ht="20.25"/>
    <row r="462" ht="20.25"/>
    <row r="463" ht="20.25"/>
    <row r="464" ht="20.25"/>
    <row r="465" ht="20.25"/>
    <row r="466" ht="20.25"/>
    <row r="467" ht="20.25"/>
    <row r="468" ht="20.25"/>
    <row r="469" ht="20.25"/>
    <row r="470" ht="20.25"/>
    <row r="471" ht="20.25"/>
    <row r="472" ht="20.25"/>
    <row r="473" ht="20.25"/>
    <row r="474" ht="20.25"/>
    <row r="475" ht="20.25"/>
    <row r="476" ht="20.25"/>
    <row r="477" ht="20.25"/>
    <row r="478" ht="20.25"/>
    <row r="479" ht="20.25"/>
    <row r="480" ht="20.25"/>
    <row r="481" ht="20.25"/>
    <row r="482" ht="20.25"/>
    <row r="483" ht="20.25"/>
    <row r="484" ht="20.25"/>
    <row r="485" ht="20.25"/>
    <row r="486" ht="20.25"/>
    <row r="487" ht="20.25"/>
    <row r="488" ht="20.25"/>
    <row r="489" ht="20.25"/>
    <row r="490" ht="20.25"/>
    <row r="491" ht="20.25"/>
    <row r="492" ht="20.25"/>
    <row r="493" ht="20.25"/>
    <row r="494" ht="20.25"/>
    <row r="495" ht="20.25"/>
    <row r="496" ht="20.25"/>
    <row r="497" ht="20.25"/>
    <row r="498" ht="20.25"/>
    <row r="499" ht="20.25"/>
    <row r="500" ht="20.25"/>
    <row r="501" ht="20.25"/>
    <row r="502" ht="20.25"/>
    <row r="503" ht="20.25"/>
    <row r="504" ht="20.25"/>
    <row r="505" ht="20.25"/>
    <row r="506" ht="20.25"/>
    <row r="507" ht="20.25"/>
    <row r="508" ht="20.25"/>
    <row r="509" ht="20.25"/>
    <row r="510" ht="20.25"/>
    <row r="511" ht="20.25"/>
    <row r="512" ht="20.25"/>
    <row r="513" ht="20.25"/>
    <row r="514" ht="20.25"/>
    <row r="515" ht="20.25"/>
    <row r="516" ht="20.25"/>
    <row r="517" ht="20.25"/>
    <row r="518" ht="20.25"/>
    <row r="519" ht="20.25"/>
    <row r="520" ht="20.25"/>
    <row r="521" ht="20.25"/>
    <row r="522" ht="20.25"/>
    <row r="523" ht="20.25"/>
    <row r="524" ht="20.25"/>
    <row r="525" ht="20.25"/>
    <row r="526" ht="20.25"/>
    <row r="527" ht="20.25"/>
    <row r="528" ht="20.25"/>
    <row r="529" ht="20.25"/>
    <row r="530" ht="20.25"/>
    <row r="531" ht="20.25"/>
    <row r="532" ht="20.25"/>
    <row r="533" ht="20.25"/>
    <row r="534" ht="20.25"/>
    <row r="535" ht="20.25"/>
    <row r="536" ht="20.25"/>
    <row r="537" ht="20.25"/>
    <row r="538" ht="20.25"/>
    <row r="539" ht="20.25"/>
    <row r="540" ht="20.25"/>
    <row r="541" ht="20.25"/>
    <row r="542" ht="20.25"/>
    <row r="543" ht="20.25"/>
    <row r="544" ht="20.25"/>
    <row r="545" ht="20.25"/>
  </sheetData>
  <mergeCells count="13">
    <mergeCell ref="L5:M5"/>
    <mergeCell ref="N5:P5"/>
    <mergeCell ref="H5:H6"/>
    <mergeCell ref="A1:P1"/>
    <mergeCell ref="A2:P2"/>
    <mergeCell ref="A3:P3"/>
    <mergeCell ref="A5:G6"/>
    <mergeCell ref="I5:K5"/>
    <mergeCell ref="A7:G7"/>
    <mergeCell ref="A17:G17"/>
    <mergeCell ref="A30:G30"/>
    <mergeCell ref="A56:G56"/>
    <mergeCell ref="B57:G5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fitToWidth="0" fitToHeight="0" pageOrder="overThenDown" orientation="portrait" cellComments="atEnd" r:id="rId1"/>
  <headerFooter>
    <oddFooter>&amp;L&amp;"TH Sarabun New,Regular"&amp;14กลุ่มติดตามและประเมินผล สำนักวิชาการและแผนงาน&amp;R&amp;"TH Sarabun New,Regular"&amp;14หน้า &amp;P จาก &amp;N</oddFooter>
  </headerFooter>
  <rowBreaks count="3" manualBreakCount="3">
    <brk id="217" max="16383" man="1"/>
    <brk id="299" max="16383" man="1"/>
    <brk id="3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2024-01-05T02:50:19Z</cp:lastPrinted>
  <dcterms:modified xsi:type="dcterms:W3CDTF">2024-01-05T02:50:49Z</dcterms:modified>
</cp:coreProperties>
</file>